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\\servervs\COM\COMMERCIALE\Prodotti\PRODOTTI\MANUALI_DISEGNI _VIDEO_NEW\13 Folder\Moduli ordine compilabili\"/>
    </mc:Choice>
  </mc:AlternateContent>
  <xr:revisionPtr revIDLastSave="0" documentId="13_ncr:1_{02721D9B-FC0F-479C-9000-0DB1FAE93F6C}" xr6:coauthVersionLast="47" xr6:coauthVersionMax="47" xr10:uidLastSave="{00000000-0000-0000-0000-000000000000}"/>
  <workbookProtection workbookAlgorithmName="SHA-512" workbookHashValue="GkYaJ7STrXv9DYYFm3YePkZc9HUtRQwLjgynbYk7UJ/xhaezDkqJrMI+RZ5N+2Kvok2rravB3OAQ342KjacONA==" workbookSaltValue="QPtJOA0MeQVohGdivz2NcA==" workbookSpinCount="100000" lockStructure="1"/>
  <bookViews>
    <workbookView xWindow="-120" yWindow="-120" windowWidth="29040" windowHeight="15720" firstSheet="1" activeTab="1" xr2:uid="{00000000-000D-0000-FFFF-FFFF00000000}"/>
  </bookViews>
  <sheets>
    <sheet name="SingolaSx" sheetId="2" state="hidden" r:id="rId1"/>
    <sheet name="Draft" sheetId="9" r:id="rId2"/>
  </sheets>
  <externalReferences>
    <externalReference r:id="rId3"/>
  </externalReferences>
  <definedNames>
    <definedName name="_xlnm.Print_Area" localSheetId="1">Draft!$A$1:$AT$67</definedName>
    <definedName name="_xlnm.Print_Area" localSheetId="0">SingolaSx!$A$1:$AJ$56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9" l="1"/>
  <c r="AY98" i="2"/>
  <c r="AY99" i="2"/>
  <c r="AY100" i="2"/>
  <c r="AY101" i="2"/>
  <c r="AY102" i="2"/>
  <c r="AY103" i="2"/>
  <c r="AY105" i="2"/>
  <c r="AY106" i="2"/>
  <c r="AY107" i="2"/>
  <c r="AY108" i="2"/>
  <c r="AY109" i="2"/>
  <c r="AY110" i="2"/>
  <c r="AY119" i="2"/>
  <c r="AY120" i="2"/>
  <c r="AY121" i="2"/>
  <c r="AY122" i="2"/>
  <c r="AY123" i="2"/>
  <c r="AY124" i="2"/>
  <c r="AY147" i="2"/>
  <c r="AY148" i="2"/>
  <c r="AY149" i="2"/>
  <c r="AY150" i="2"/>
  <c r="AY151" i="2"/>
  <c r="AY152" i="2"/>
  <c r="BM18" i="2"/>
  <c r="BS2" i="2"/>
  <c r="BS3" i="2" s="1"/>
  <c r="BD20" i="2"/>
  <c r="I45" i="9"/>
  <c r="I47" i="9"/>
  <c r="I48" i="9"/>
  <c r="I49" i="9"/>
  <c r="I51" i="9"/>
  <c r="I52" i="9"/>
  <c r="I53" i="9"/>
  <c r="I54" i="9"/>
  <c r="I59" i="9"/>
  <c r="H60" i="9" s="1"/>
  <c r="I44" i="9"/>
  <c r="I43" i="9"/>
  <c r="I42" i="9"/>
  <c r="D46" i="9"/>
  <c r="D14" i="2" s="1"/>
  <c r="BL17" i="2"/>
  <c r="AC54" i="9" s="1"/>
  <c r="AV4" i="2"/>
  <c r="BE13" i="2"/>
  <c r="BN14" i="2"/>
  <c r="S52" i="9" s="1"/>
  <c r="CJ11" i="2"/>
  <c r="AZ5" i="2"/>
  <c r="AZ6" i="2"/>
  <c r="AZ7" i="2"/>
  <c r="AZ8" i="2"/>
  <c r="AZ9" i="2"/>
  <c r="AZ10" i="2"/>
  <c r="BT45" i="2" s="1"/>
  <c r="AZ4" i="2"/>
  <c r="A61" i="9" s="1"/>
  <c r="I40" i="9"/>
  <c r="I41" i="9"/>
  <c r="I39" i="9"/>
  <c r="BM39" i="2"/>
  <c r="BQ35" i="2"/>
  <c r="BQ34" i="2"/>
  <c r="BQ33" i="2"/>
  <c r="BQ32" i="2"/>
  <c r="BQ26" i="2"/>
  <c r="BM35" i="2"/>
  <c r="BM34" i="2"/>
  <c r="BM33" i="2"/>
  <c r="BM32" i="2"/>
  <c r="BM31" i="2"/>
  <c r="BM30" i="2"/>
  <c r="BM29" i="2"/>
  <c r="BM28" i="2"/>
  <c r="BM27" i="2"/>
  <c r="BM24" i="2"/>
  <c r="BM25" i="2"/>
  <c r="BM26" i="2"/>
  <c r="BN17" i="2"/>
  <c r="BM17" i="2"/>
  <c r="BG15" i="2"/>
  <c r="BG16" i="2"/>
  <c r="BG17" i="2"/>
  <c r="BG14" i="2"/>
  <c r="BB19" i="2"/>
  <c r="BD19" i="2"/>
  <c r="AW33" i="2"/>
  <c r="AW32" i="2"/>
  <c r="AW28" i="2"/>
  <c r="AW29" i="2"/>
  <c r="AW30" i="2"/>
  <c r="AW27" i="2"/>
  <c r="D25" i="2"/>
  <c r="Q55" i="2" s="1"/>
  <c r="D26" i="2"/>
  <c r="D27" i="2"/>
  <c r="D24" i="2"/>
  <c r="D23" i="2"/>
  <c r="D18" i="2"/>
  <c r="D20" i="2"/>
  <c r="D17" i="2"/>
  <c r="Z35" i="2" s="1"/>
  <c r="D15" i="2"/>
  <c r="Z11" i="2" s="1"/>
  <c r="D34" i="2"/>
  <c r="AF10" i="2" s="1"/>
  <c r="D33" i="2"/>
  <c r="AC39" i="2" s="1"/>
  <c r="D32" i="2"/>
  <c r="B2" i="2"/>
  <c r="BL18" i="2" l="1"/>
  <c r="BL19" i="2"/>
  <c r="BF19" i="2"/>
  <c r="K56" i="9"/>
  <c r="C61" i="9"/>
  <c r="K34" i="9"/>
  <c r="K45" i="9"/>
  <c r="AL54" i="9"/>
  <c r="CG11" i="2" s="1"/>
  <c r="CE11" i="2"/>
  <c r="T54" i="9"/>
  <c r="CD11" i="2" s="1"/>
  <c r="C49" i="9"/>
  <c r="CC11" i="2"/>
  <c r="AH52" i="9"/>
  <c r="CB11" i="2" s="1"/>
  <c r="H46" i="9"/>
  <c r="H50" i="9"/>
  <c r="BN15" i="2"/>
  <c r="BL10" i="2"/>
  <c r="I46" i="9"/>
  <c r="D50" i="9"/>
  <c r="I50" i="9" s="1"/>
  <c r="BE19" i="2"/>
  <c r="A34" i="9"/>
  <c r="C44" i="9"/>
  <c r="BC17" i="2"/>
  <c r="BF17" i="2" s="1"/>
  <c r="BI17" i="2" s="1"/>
  <c r="BL7" i="2"/>
  <c r="BL39" i="2" s="1"/>
  <c r="BL6" i="2"/>
  <c r="BK39" i="2" s="1"/>
  <c r="BL8" i="2"/>
  <c r="BC15" i="2"/>
  <c r="BM14" i="2" s="1"/>
  <c r="BC14" i="2"/>
  <c r="BF14" i="2" s="1"/>
  <c r="BI14" i="2" s="1"/>
  <c r="BC16" i="2"/>
  <c r="BF16" i="2" s="1"/>
  <c r="BI16" i="2" s="1"/>
  <c r="C47" i="9"/>
  <c r="C50" i="9"/>
  <c r="C57" i="9"/>
  <c r="C55" i="9"/>
  <c r="A35" i="9"/>
  <c r="C26" i="2"/>
  <c r="A36" i="9"/>
  <c r="A40" i="9"/>
  <c r="A41" i="9"/>
  <c r="A42" i="9"/>
  <c r="A43" i="9"/>
  <c r="C52" i="9"/>
  <c r="C54" i="9"/>
  <c r="C56" i="9"/>
  <c r="C58" i="9"/>
  <c r="C60" i="9"/>
  <c r="C46" i="9"/>
  <c r="A37" i="9"/>
  <c r="A38" i="9"/>
  <c r="BT28" i="2"/>
  <c r="BT30" i="2"/>
  <c r="BT16" i="2"/>
  <c r="BT17" i="2"/>
  <c r="BT32" i="2"/>
  <c r="BV24" i="2"/>
  <c r="BT14" i="2"/>
  <c r="BT15" i="2"/>
  <c r="BT31" i="2"/>
  <c r="BT18" i="2"/>
  <c r="BT33" i="2"/>
  <c r="BT34" i="2"/>
  <c r="BT35" i="2"/>
  <c r="BT13" i="2"/>
  <c r="BT29" i="2"/>
  <c r="BT19" i="2"/>
  <c r="BT20" i="2"/>
  <c r="BT21" i="2"/>
  <c r="BT38" i="2"/>
  <c r="BT39" i="2"/>
  <c r="BT41" i="2"/>
  <c r="BT43" i="2"/>
  <c r="BT40" i="2"/>
  <c r="BT24" i="2"/>
  <c r="BV21" i="2"/>
  <c r="BV22" i="2"/>
  <c r="BT44" i="2"/>
  <c r="BT22" i="2"/>
  <c r="BT23" i="2"/>
  <c r="BV23" i="2"/>
  <c r="BO17" i="2"/>
  <c r="BP17" i="2" s="1"/>
  <c r="BB28" i="2"/>
  <c r="BB34" i="2"/>
  <c r="BB32" i="2"/>
  <c r="BB30" i="2"/>
  <c r="BB27" i="2"/>
  <c r="BB29" i="2"/>
  <c r="BB31" i="2"/>
  <c r="BB33" i="2"/>
  <c r="G10" i="2"/>
  <c r="F10" i="2"/>
  <c r="AV5" i="2"/>
  <c r="AQ47" i="2"/>
  <c r="J37" i="2"/>
  <c r="AQ19" i="2"/>
  <c r="AQ48" i="2"/>
  <c r="AQ27" i="2"/>
  <c r="AQ24" i="2"/>
  <c r="AQ22" i="2"/>
  <c r="AQ23" i="2"/>
  <c r="AQ28" i="2"/>
  <c r="AQ29" i="2"/>
  <c r="AI34" i="2"/>
  <c r="AQ45" i="2"/>
  <c r="AQ21" i="2"/>
  <c r="AQ43" i="2"/>
  <c r="AQ49" i="2"/>
  <c r="AQ30" i="2"/>
  <c r="AQ31" i="2"/>
  <c r="AQ26" i="2"/>
  <c r="AQ18" i="2"/>
  <c r="AQ44" i="2"/>
  <c r="B11" i="2"/>
  <c r="G11" i="2" s="1"/>
  <c r="D21" i="2"/>
  <c r="AP16" i="2"/>
  <c r="E28" i="2" s="1"/>
  <c r="BE6" i="2"/>
  <c r="BE4" i="2"/>
  <c r="BE5" i="2"/>
  <c r="BE7" i="2"/>
  <c r="BE8" i="2"/>
  <c r="D16" i="2"/>
  <c r="AY26" i="2"/>
  <c r="E20" i="2" s="1"/>
  <c r="K24" i="2"/>
  <c r="AH24" i="2"/>
  <c r="AY191" i="2" l="1"/>
  <c r="AY192" i="2"/>
  <c r="AY193" i="2"/>
  <c r="AY194" i="2"/>
  <c r="AY189" i="2"/>
  <c r="AY190" i="2"/>
  <c r="J56" i="9"/>
  <c r="J45" i="9"/>
  <c r="CI11" i="2" s="1"/>
  <c r="CF11" i="2"/>
  <c r="C53" i="9"/>
  <c r="J34" i="9"/>
  <c r="CH11" i="2" s="1"/>
  <c r="BL40" i="2"/>
  <c r="BS43" i="2"/>
  <c r="BN39" i="2"/>
  <c r="BO39" i="2" s="1"/>
  <c r="C65" i="9" s="1"/>
  <c r="BG4" i="2"/>
  <c r="BF15" i="2"/>
  <c r="BI15" i="2" s="1"/>
  <c r="BE14" i="2"/>
  <c r="BL14" i="2"/>
  <c r="A64" i="9"/>
  <c r="C64" i="9"/>
  <c r="AZ13" i="2"/>
  <c r="AG37" i="2"/>
  <c r="E21" i="2"/>
  <c r="Y24" i="2"/>
  <c r="B37" i="2"/>
  <c r="B6" i="2"/>
  <c r="C32" i="2"/>
  <c r="C33" i="2"/>
  <c r="C28" i="2"/>
  <c r="C27" i="2"/>
  <c r="B7" i="2"/>
  <c r="C20" i="2"/>
  <c r="C15" i="2"/>
  <c r="C18" i="2"/>
  <c r="C14" i="2"/>
  <c r="C25" i="2"/>
  <c r="C16" i="2"/>
  <c r="D37" i="2"/>
  <c r="C24" i="2"/>
  <c r="AY14" i="2"/>
  <c r="AZ14" i="2" s="1"/>
  <c r="L54" i="2" s="1"/>
  <c r="C30" i="2"/>
  <c r="AY15" i="2"/>
  <c r="C37" i="2"/>
  <c r="B5" i="2"/>
  <c r="B8" i="2"/>
  <c r="C19" i="2"/>
  <c r="C45" i="9" l="1"/>
  <c r="C21" i="2"/>
  <c r="C59" i="9"/>
  <c r="C48" i="9"/>
  <c r="I56" i="9"/>
  <c r="C23" i="2"/>
  <c r="V23" i="9"/>
  <c r="CA11" i="2" s="1"/>
  <c r="I55" i="9"/>
  <c r="D57" i="9"/>
  <c r="BL4" i="2" s="1"/>
  <c r="BM4" i="2" s="1"/>
  <c r="C51" i="9"/>
  <c r="D65" i="9"/>
  <c r="E23" i="9"/>
  <c r="BZ11" i="2" s="1"/>
  <c r="BZ13" i="2" s="1"/>
  <c r="A23" i="9"/>
  <c r="BY11" i="2" s="1"/>
  <c r="BY13" i="2" s="1"/>
  <c r="C17" i="2"/>
  <c r="C66" i="9"/>
  <c r="A66" i="9"/>
  <c r="D66" i="9" s="1"/>
  <c r="C34" i="2"/>
  <c r="A65" i="9"/>
  <c r="BO4" i="2"/>
  <c r="BN4" i="2"/>
  <c r="BP30" i="2"/>
  <c r="BP32" i="2"/>
  <c r="BP34" i="2"/>
  <c r="BP35" i="2"/>
  <c r="BP27" i="2"/>
  <c r="BP33" i="2"/>
  <c r="BP26" i="2"/>
  <c r="BP24" i="2"/>
  <c r="BP28" i="2"/>
  <c r="BP25" i="2"/>
  <c r="BP31" i="2"/>
  <c r="BP29" i="2"/>
  <c r="BD4" i="2"/>
  <c r="B39" i="2"/>
  <c r="C39" i="2" s="1"/>
  <c r="BD7" i="2"/>
  <c r="BF7" i="2" s="1"/>
  <c r="BD5" i="2"/>
  <c r="BF5" i="2" s="1"/>
  <c r="BD8" i="2"/>
  <c r="BF8" i="2" s="1"/>
  <c r="BD6" i="2"/>
  <c r="BF6" i="2" s="1"/>
  <c r="V41" i="2"/>
  <c r="L41" i="2"/>
  <c r="V54" i="2"/>
  <c r="H57" i="9" l="1"/>
  <c r="D58" i="9"/>
  <c r="I58" i="9" s="1"/>
  <c r="I57" i="9"/>
  <c r="H58" i="9"/>
  <c r="C31" i="2"/>
  <c r="BF4" i="2"/>
  <c r="D28" i="2" l="1"/>
  <c r="D31" i="2" s="1"/>
  <c r="BH15" i="2"/>
  <c r="BH16" i="2"/>
  <c r="BH17" i="2"/>
  <c r="BH14" i="2"/>
  <c r="BO14" i="2" l="1"/>
  <c r="BL32" i="2"/>
  <c r="BN32" i="2" s="1"/>
  <c r="BL34" i="2"/>
  <c r="BN34" i="2" s="1"/>
  <c r="BL35" i="2"/>
  <c r="BN35" i="2" s="1"/>
  <c r="BL26" i="2"/>
  <c r="BN26" i="2" s="1"/>
  <c r="BL27" i="2"/>
  <c r="BN27" i="2" s="1"/>
  <c r="BL24" i="2"/>
  <c r="BN24" i="2" s="1"/>
  <c r="BL31" i="2"/>
  <c r="BN31" i="2" s="1"/>
  <c r="BL33" i="2"/>
  <c r="BN33" i="2" s="1"/>
  <c r="BL28" i="2"/>
  <c r="BN28" i="2" s="1"/>
  <c r="BL30" i="2"/>
  <c r="BN30" i="2" s="1"/>
  <c r="BL25" i="2"/>
  <c r="BN25" i="2" s="1"/>
  <c r="BL29" i="2"/>
  <c r="BN29" i="2" s="1"/>
  <c r="Q42" i="2"/>
  <c r="D30" i="2"/>
  <c r="Q8" i="2" s="1"/>
  <c r="Q10" i="2"/>
  <c r="AZ17" i="2"/>
  <c r="T53" i="2"/>
  <c r="H31" i="2"/>
  <c r="P53" i="2"/>
  <c r="AZ18" i="2"/>
  <c r="G31" i="2"/>
  <c r="BP14" i="2" l="1"/>
  <c r="BQ14" i="2" s="1"/>
  <c r="BS44" i="2"/>
  <c r="BS45" i="2"/>
  <c r="D60" i="9"/>
  <c r="I60" i="9" s="1"/>
  <c r="I63" i="9" s="1"/>
  <c r="D64" i="9"/>
  <c r="AP30" i="2"/>
  <c r="AR30" i="2" s="1"/>
  <c r="AP27" i="2"/>
  <c r="AR27" i="2" s="1"/>
  <c r="AP21" i="2"/>
  <c r="AR21" i="2" s="1"/>
  <c r="AP26" i="2"/>
  <c r="AR26" i="2" s="1"/>
  <c r="AP19" i="2"/>
  <c r="AR19" i="2" s="1"/>
  <c r="AP47" i="2"/>
  <c r="AR47" i="2" s="1"/>
  <c r="AP24" i="2"/>
  <c r="AR24" i="2" s="1"/>
  <c r="AP23" i="2"/>
  <c r="AR23" i="2" s="1"/>
  <c r="AP31" i="2"/>
  <c r="AR31" i="2" s="1"/>
  <c r="AP18" i="2"/>
  <c r="AR18" i="2" s="1"/>
  <c r="AP29" i="2"/>
  <c r="AR29" i="2" s="1"/>
  <c r="AP44" i="2"/>
  <c r="AR44" i="2" s="1"/>
  <c r="AP49" i="2"/>
  <c r="AR49" i="2" s="1"/>
  <c r="AP22" i="2"/>
  <c r="AR22" i="2" s="1"/>
  <c r="AP45" i="2"/>
  <c r="AR45" i="2" s="1"/>
  <c r="AP48" i="2"/>
  <c r="AR48" i="2" s="1"/>
  <c r="AP28" i="2"/>
  <c r="AR28" i="2" s="1"/>
  <c r="AP43" i="2"/>
  <c r="AR43" i="2" s="1"/>
  <c r="AZ19" i="2"/>
  <c r="C62" i="9" l="1"/>
  <c r="A62" i="9"/>
  <c r="D62" i="9" s="1"/>
  <c r="C67" i="9"/>
  <c r="A67" i="9"/>
  <c r="D67" i="9" s="1"/>
  <c r="A63" i="9"/>
  <c r="D63" i="9" s="1"/>
  <c r="C63" i="9"/>
  <c r="AU17" i="2"/>
  <c r="AT17" i="2"/>
  <c r="AV17" i="2" s="1"/>
  <c r="AU18" i="2"/>
  <c r="AT18" i="2"/>
  <c r="AV18" i="2" s="1"/>
  <c r="B38" i="2"/>
  <c r="AW17" i="2" l="1"/>
  <c r="D39" i="2" s="1"/>
  <c r="C38" i="2"/>
  <c r="E32" i="2" l="1"/>
</calcChain>
</file>

<file path=xl/sharedStrings.xml><?xml version="1.0" encoding="utf-8"?>
<sst xmlns="http://schemas.openxmlformats.org/spreadsheetml/2006/main" count="418" uniqueCount="330">
  <si>
    <t>SPC</t>
  </si>
  <si>
    <t>SPB</t>
  </si>
  <si>
    <t>DAT</t>
  </si>
  <si>
    <t>LT</t>
  </si>
  <si>
    <t>SPE</t>
  </si>
  <si>
    <t>LP</t>
  </si>
  <si>
    <t>T</t>
  </si>
  <si>
    <t>LU</t>
  </si>
  <si>
    <t>D2</t>
  </si>
  <si>
    <t>D1</t>
  </si>
  <si>
    <t>TH</t>
  </si>
  <si>
    <t>DBT</t>
  </si>
  <si>
    <t>SPI</t>
  </si>
  <si>
    <t>KIT 1</t>
  </si>
  <si>
    <t>KIT 2</t>
  </si>
  <si>
    <t>-</t>
  </si>
  <si>
    <t>LHT</t>
  </si>
  <si>
    <t>LHI</t>
  </si>
  <si>
    <t>Larghezza totale mobile interno (mm)</t>
  </si>
  <si>
    <t>Gesamte Innenbreite des Schrankes (mm)</t>
  </si>
  <si>
    <t>Largeur totale intérieure meuble (mm)</t>
  </si>
  <si>
    <t>Largura total interna do móvel (mm)</t>
  </si>
  <si>
    <t>Anchura total mueble interno (mm)</t>
  </si>
  <si>
    <t>Nome</t>
  </si>
  <si>
    <t>Contact name</t>
  </si>
  <si>
    <t>Name</t>
  </si>
  <si>
    <t>Nom</t>
  </si>
  <si>
    <t>Nombre</t>
  </si>
  <si>
    <t>Azienda</t>
  </si>
  <si>
    <t>Company</t>
  </si>
  <si>
    <t>Firma</t>
  </si>
  <si>
    <t>Société</t>
  </si>
  <si>
    <t>Companhia</t>
  </si>
  <si>
    <t>Empresa</t>
  </si>
  <si>
    <t>Data</t>
  </si>
  <si>
    <t>Date</t>
  </si>
  <si>
    <t>Datum</t>
  </si>
  <si>
    <t>Fecha</t>
  </si>
  <si>
    <t>Progetto</t>
  </si>
  <si>
    <t>Project</t>
  </si>
  <si>
    <t>Projekt</t>
  </si>
  <si>
    <t>Projet</t>
  </si>
  <si>
    <t>Projeto</t>
  </si>
  <si>
    <t>Proyecto</t>
  </si>
  <si>
    <t>Altezza totale mobile (mm)</t>
  </si>
  <si>
    <t>Gesamtes Schrankkorpushöhenmass (mm)</t>
  </si>
  <si>
    <t>Hauteur totale meuble (mm)</t>
  </si>
  <si>
    <t>Altura total do móvel (mm)</t>
  </si>
  <si>
    <t>Altura total mueble (mm)</t>
  </si>
  <si>
    <t>Altezza vano interno mobile (mm)</t>
  </si>
  <si>
    <t>Lichte Innenhöhe (mm)</t>
  </si>
  <si>
    <t>Hauteur intérieure meuble (mm)</t>
  </si>
  <si>
    <t>Altura do vão interno do móvel (mm)</t>
  </si>
  <si>
    <t>Altura espacio interno muebles (mm)</t>
  </si>
  <si>
    <t>SCELTA DELLA COMPOSIZIONE DEL MOBILE</t>
  </si>
  <si>
    <t>CABINET COMPOSITION CHOICE</t>
  </si>
  <si>
    <t>AUSWAHL DER SCHRANKZUSAMMENSETZUNG</t>
  </si>
  <si>
    <t>ESCOLHA DA COMPOSIÇÃO DO GABINETE</t>
  </si>
  <si>
    <t>ELECCIÓN DE LA COMPOSICIÓN DEL ARMARIO</t>
  </si>
  <si>
    <t>Dato non necessario</t>
  </si>
  <si>
    <t>Information not required</t>
  </si>
  <si>
    <t>Informationen nicht erforderlich</t>
  </si>
  <si>
    <t>Informations non requises</t>
  </si>
  <si>
    <t>Informação não necessária</t>
  </si>
  <si>
    <t>Información no necesaria</t>
  </si>
  <si>
    <t>ITA</t>
  </si>
  <si>
    <t>ENG</t>
  </si>
  <si>
    <t>DEU</t>
  </si>
  <si>
    <t>FRA</t>
  </si>
  <si>
    <t>PORT</t>
  </si>
  <si>
    <t>SPA</t>
  </si>
  <si>
    <t>Apertura verso destra</t>
  </si>
  <si>
    <t>Right-hand opening</t>
  </si>
  <si>
    <t>Apertura verso sinistra</t>
  </si>
  <si>
    <t>Left-hand opening</t>
  </si>
  <si>
    <t>Spessore cappello (mm) • Min 18 mm</t>
  </si>
  <si>
    <t xml:space="preserve">Stärke Oberboden (mm) • Mindestens 18 mm </t>
  </si>
  <si>
    <t xml:space="preserve">Epaisseur panneau haut (mm) • Min 18 mm </t>
  </si>
  <si>
    <t xml:space="preserve">Espessura do chapéu (mm) • Mín 18 mm </t>
  </si>
  <si>
    <t xml:space="preserve">Espesor panel techo (mm) • Mínimo 18 mm </t>
  </si>
  <si>
    <t>Larghezza totale mobile (mm)</t>
  </si>
  <si>
    <t>Total cabinet width (mm)</t>
  </si>
  <si>
    <t>Aria centrale tra le ante (mm)</t>
  </si>
  <si>
    <t>LI</t>
  </si>
  <si>
    <t>LI max</t>
  </si>
  <si>
    <t>TL</t>
  </si>
  <si>
    <t>Descrizione</t>
  </si>
  <si>
    <t>Codice</t>
  </si>
  <si>
    <t>Qtà</t>
  </si>
  <si>
    <t>W</t>
  </si>
  <si>
    <t>Peso</t>
  </si>
  <si>
    <t>600 - 800</t>
  </si>
  <si>
    <t>801 -1200</t>
  </si>
  <si>
    <t>1201-1600</t>
  </si>
  <si>
    <t>1601-2000</t>
  </si>
  <si>
    <t>2001-2400</t>
  </si>
  <si>
    <t>2401-2800</t>
  </si>
  <si>
    <t>Kit 1 Kit 2</t>
  </si>
  <si>
    <t>700 - 800</t>
  </si>
  <si>
    <t>CM Nichel H0</t>
  </si>
  <si>
    <t>Cm Titanio H0</t>
  </si>
  <si>
    <t>CM Nichel H6</t>
  </si>
  <si>
    <t>Cm Titanio H6</t>
  </si>
  <si>
    <t>Peso massimo per coppia di ante (Kg)</t>
  </si>
  <si>
    <t>Code</t>
  </si>
  <si>
    <t>Description</t>
  </si>
  <si>
    <t>Qty</t>
  </si>
  <si>
    <t>Conecta DQG3B Nichel</t>
  </si>
  <si>
    <t>Conecta DQG3B Titanium</t>
  </si>
  <si>
    <t>Conecta DQG5B Nichel</t>
  </si>
  <si>
    <t>Conecta DQG5B Titanium</t>
  </si>
  <si>
    <t>RAB</t>
  </si>
  <si>
    <t>Lower Reveal • min 0 max 2</t>
  </si>
  <si>
    <t>Luce anta base • min 0 max 2</t>
  </si>
  <si>
    <t>Conecta DQG3B</t>
  </si>
  <si>
    <t>Conecta DQG5B</t>
  </si>
  <si>
    <t>Titanium</t>
  </si>
  <si>
    <t>Nichel</t>
  </si>
  <si>
    <t>Opening</t>
  </si>
  <si>
    <t>Top/Base</t>
  </si>
  <si>
    <t>Top</t>
  </si>
  <si>
    <t>Base</t>
  </si>
  <si>
    <t>CM + H0 / CM + H6</t>
  </si>
  <si>
    <t>Kit 1/Kit 2</t>
  </si>
  <si>
    <t>Sing/Dop</t>
  </si>
  <si>
    <t>Dx/Sx</t>
  </si>
  <si>
    <t>Bin</t>
  </si>
  <si>
    <t>Dec</t>
  </si>
  <si>
    <t>D/C</t>
  </si>
  <si>
    <t>N/T</t>
  </si>
  <si>
    <t>Kit 1/2</t>
  </si>
  <si>
    <t>Check</t>
  </si>
  <si>
    <t>QTA HIN</t>
  </si>
  <si>
    <t>CHK TL</t>
  </si>
  <si>
    <t>Finish</t>
  </si>
  <si>
    <t>Wood</t>
  </si>
  <si>
    <t>Fr/Pr</t>
  </si>
  <si>
    <t>A/W</t>
  </si>
  <si>
    <t>FOLDER TOP KIT 1 (350-500) R</t>
  </si>
  <si>
    <t>FOLDER TOP KIT 1 (350-500) L</t>
  </si>
  <si>
    <t>FOLDER TOP KIT 2 (501-750) R</t>
  </si>
  <si>
    <t>FOLDER TOP KIT 2 (501-750) L</t>
  </si>
  <si>
    <t>FOLDER BASE KIT 1 (350-500) R</t>
  </si>
  <si>
    <t>FOLDER BASE KIT 1 (350-500) L</t>
  </si>
  <si>
    <t>FOLDER BASE KIT 2 (501-750) R</t>
  </si>
  <si>
    <t>FOLDER BASE KIT 2 (501-750) L</t>
  </si>
  <si>
    <t>FOLDER BASE KIT 2 (350-500) R</t>
  </si>
  <si>
    <t>FOLDER BASE KIT 2 (350-500) L</t>
  </si>
  <si>
    <t xml:space="preserve">KIT 2 CONECTA HING. DQG3B NICKEL </t>
  </si>
  <si>
    <t xml:space="preserve">KIT 2 CONECTA HING. DQG5B NICKEL </t>
  </si>
  <si>
    <t xml:space="preserve">KIT 2 CM HINGES + H0 H6 BASES NICKEL </t>
  </si>
  <si>
    <t>KIT 2 CM HINGES + H0 H6 BASES TITANIUM</t>
  </si>
  <si>
    <t>KIT 2 CONECTA HING. DQG5B TITANIUM</t>
  </si>
  <si>
    <t>KIT 2 CONECTA HING. DQG3B TITANIUM</t>
  </si>
  <si>
    <t>KIT ALUM. FRAME DOORS NICKEL</t>
  </si>
  <si>
    <t>KIT ALUM. FRAME DOORS TITANIUM</t>
  </si>
  <si>
    <t>KIT ALUM. PROF. FOR WOOD DOORS NICKEL</t>
  </si>
  <si>
    <t>KIT ALUM. PROF. FOR WOOD DOORS TITAN.</t>
  </si>
  <si>
    <t>DAMPING KIT FOR PASSAGE</t>
  </si>
  <si>
    <t>DAMPING KIT1 FOR SMALL DOORS</t>
  </si>
  <si>
    <t>DAMPING KIT2 FOR SMALL DOORS</t>
  </si>
  <si>
    <t>Distributor</t>
  </si>
  <si>
    <t>HA</t>
  </si>
  <si>
    <t>D1:</t>
  </si>
  <si>
    <t>SPI min:</t>
  </si>
  <si>
    <t>19 mm</t>
  </si>
  <si>
    <t>12,5 - 13,5 - 14,5 - 15,5 - 16 mm</t>
  </si>
  <si>
    <t>10 mm</t>
  </si>
  <si>
    <t>D1 H0:</t>
  </si>
  <si>
    <t>D1 H6:</t>
  </si>
  <si>
    <t>18 mm</t>
  </si>
  <si>
    <t>12 mm</t>
  </si>
  <si>
    <t>US</t>
  </si>
  <si>
    <t>Y/V</t>
  </si>
  <si>
    <t>Internal cabinet width (mm)</t>
  </si>
  <si>
    <t>Max weight for two doors (kg)</t>
  </si>
  <si>
    <t>Total cabinet height (mm)</t>
  </si>
  <si>
    <t>Top panel thickness (mm) – min 18 mm</t>
  </si>
  <si>
    <t>Internal cabinet height (mm)</t>
  </si>
  <si>
    <t>Reveal between doors (mm)</t>
  </si>
  <si>
    <t>Room divider</t>
  </si>
  <si>
    <t>Side panel thickness (mm) - min 18 mm</t>
  </si>
  <si>
    <t>Spessore fianco esterno - min 18 mm</t>
  </si>
  <si>
    <t>Internal door overlay (hinged side) on SPI (mm)</t>
  </si>
  <si>
    <t>Distributore</t>
  </si>
  <si>
    <t>Apertura</t>
  </si>
  <si>
    <t>Cerniere</t>
  </si>
  <si>
    <t>Hinges</t>
  </si>
  <si>
    <t>Finitura</t>
  </si>
  <si>
    <t>Tipologia porte</t>
  </si>
  <si>
    <t>Door type</t>
  </si>
  <si>
    <t>Apertura singola destra</t>
  </si>
  <si>
    <t>Single right opening</t>
  </si>
  <si>
    <t>Single left opening</t>
  </si>
  <si>
    <t>Apertura singola sinistra</t>
  </si>
  <si>
    <t>Apertura doppia (Dx + Sx)</t>
  </si>
  <si>
    <t>Double Opening (Right + Left)</t>
  </si>
  <si>
    <t>Divisorio per ambienti</t>
  </si>
  <si>
    <t>Legno</t>
  </si>
  <si>
    <t>Telaio di alluminio</t>
  </si>
  <si>
    <t>Aluminum frame</t>
  </si>
  <si>
    <t>Legno + Profili laterali in alluminio</t>
  </si>
  <si>
    <t>Wood + Aluminum Side Profiles</t>
  </si>
  <si>
    <t>Controllare LT</t>
  </si>
  <si>
    <t>Check LT</t>
  </si>
  <si>
    <t>SS</t>
  </si>
  <si>
    <t>SD</t>
  </si>
  <si>
    <t>DP</t>
  </si>
  <si>
    <t>TOP</t>
  </si>
  <si>
    <t>BASE</t>
  </si>
  <si>
    <t>DQG3</t>
  </si>
  <si>
    <t>DQG5</t>
  </si>
  <si>
    <t>CM0</t>
  </si>
  <si>
    <t>CM6</t>
  </si>
  <si>
    <t>WA</t>
  </si>
  <si>
    <t>WP</t>
  </si>
  <si>
    <t>TL Max</t>
  </si>
  <si>
    <t>X</t>
  </si>
  <si>
    <t>Altezza anta (mm) • min 600 mm max 2800 mm</t>
  </si>
  <si>
    <t>Türhöhe (mm) • min 600 mm max 2800 mm</t>
  </si>
  <si>
    <t>Hauteur porte (mm) • min 600 mm max 2800 mm</t>
  </si>
  <si>
    <t>Altura da porta (mm) • min 600 mm max 2800 mm</t>
  </si>
  <si>
    <t>Altura puerta (mm) • min 600 mm max 2800 mm</t>
  </si>
  <si>
    <t>Door height (mm) – min 600 mm max 2800 mm</t>
  </si>
  <si>
    <t>Sormonto su fianco di esterno (mm) • max 27,5 mm</t>
  </si>
  <si>
    <t>Overlap on exterior side SPE (mm) • max 27,5 mm</t>
  </si>
  <si>
    <t>Überlappung an der Außenseite (mm) • max 27,5 mm</t>
  </si>
  <si>
    <t>Chevauchement sur le côté extérieur (mm) • max 27,5 mm</t>
  </si>
  <si>
    <t>Sobreposição no lado exterior (mm) • max 27,5 mm</t>
  </si>
  <si>
    <t>Solapamiento en el lado exterior (mm) • max 27,5 mm</t>
  </si>
  <si>
    <t>Conecta DQG5B - D1: 10 mm</t>
  </si>
  <si>
    <t>CM + H0  - D1: 18 mm</t>
  </si>
  <si>
    <t>Cm + H6 - D1: 12 mm</t>
  </si>
  <si>
    <r>
      <t xml:space="preserve">Conecta DQG3B - </t>
    </r>
    <r>
      <rPr>
        <sz val="8"/>
        <color theme="1"/>
        <rFont val="Calibri"/>
        <family val="2"/>
        <scheme val="minor"/>
      </rPr>
      <t>D1: 12,5 - 13,5 - 14,5 - 15,5 - 16 mm</t>
    </r>
  </si>
  <si>
    <t>S</t>
  </si>
  <si>
    <t>Einfache Öffnung rechts</t>
  </si>
  <si>
    <t>Einfache linke Öffnung</t>
  </si>
  <si>
    <t>Doppelte Öffnung (rechts + links)</t>
  </si>
  <si>
    <t>Raumtrenner</t>
  </si>
  <si>
    <t>Holz</t>
  </si>
  <si>
    <t>Rahmen aus Aluminium</t>
  </si>
  <si>
    <t>LT prüfen</t>
  </si>
  <si>
    <t>Gesamtbreite des Schrankes (mm)</t>
  </si>
  <si>
    <t>Abstand zwischen den Türen (mm)</t>
  </si>
  <si>
    <t>Maximalgewicht für zwei Türen (kg)</t>
  </si>
  <si>
    <t>Unterer Grenzwert - min 0 max 2</t>
  </si>
  <si>
    <t>Dicke der Seitenwand (mm) - mindestens 18 mm</t>
  </si>
  <si>
    <t>Verteiler</t>
  </si>
  <si>
    <t>Eröffnung</t>
  </si>
  <si>
    <t>Scharniere</t>
  </si>
  <si>
    <t>Oberflächengüte</t>
  </si>
  <si>
    <t>Typ der Tür</t>
  </si>
  <si>
    <t>Ouverture simple à droite</t>
  </si>
  <si>
    <t>Double ouverture (droite + gauche)</t>
  </si>
  <si>
    <t>Séparateur de pièces</t>
  </si>
  <si>
    <t>Bois</t>
  </si>
  <si>
    <t>Cadre en aluminium</t>
  </si>
  <si>
    <t>Bois + Profilés latéraux en aluminium</t>
  </si>
  <si>
    <t>Holz + Aluminium Seitenprofile</t>
  </si>
  <si>
    <t>Vérifier LT</t>
  </si>
  <si>
    <t>Largeur totale de l'armoire (mm)</t>
  </si>
  <si>
    <t>Poids maximal pour deux portes (kg)</t>
  </si>
  <si>
    <t>Épaisseur du panneau latéral (mm) - min 18 mm</t>
  </si>
  <si>
    <t>Distributeur</t>
  </si>
  <si>
    <t>Ouverture</t>
  </si>
  <si>
    <t>Charnières</t>
  </si>
  <si>
    <t>Finition</t>
  </si>
  <si>
    <t>Type de porte</t>
  </si>
  <si>
    <t>Abertura única à direita</t>
  </si>
  <si>
    <t>Abertura única à esquerda</t>
  </si>
  <si>
    <t>Abertura dupla (direita + esquerda)</t>
  </si>
  <si>
    <t>Divisória de ambiente</t>
  </si>
  <si>
    <t>Madeira</t>
  </si>
  <si>
    <t>Estrutura em alumínio</t>
  </si>
  <si>
    <t>Madeira + Perfis laterais em alumínio</t>
  </si>
  <si>
    <t>Verificar LT</t>
  </si>
  <si>
    <t>Largura total do armário (mm)</t>
  </si>
  <si>
    <t>Distância entre portas (mm)</t>
  </si>
  <si>
    <t>Peso máximo para duas portas (kg)</t>
  </si>
  <si>
    <t>Revelação inferior - min 0 max 2</t>
  </si>
  <si>
    <t>Espessura do painel lateral (mm) - min 18 mm</t>
  </si>
  <si>
    <t>Distribuidor</t>
  </si>
  <si>
    <t>Abertura</t>
  </si>
  <si>
    <t>Dobradiças</t>
  </si>
  <si>
    <t>Acabamento</t>
  </si>
  <si>
    <t>Tipo de porta</t>
  </si>
  <si>
    <t>Apertura única derecha</t>
  </si>
  <si>
    <t>Apertura única izquierda</t>
  </si>
  <si>
    <t>Doble apertura (derecha + izquierda)</t>
  </si>
  <si>
    <t>Separador de ambientes</t>
  </si>
  <si>
    <t>Madera</t>
  </si>
  <si>
    <t>Marco de aluminio</t>
  </si>
  <si>
    <t>Madera + Perfiles laterales de aluminio</t>
  </si>
  <si>
    <t>Comprobar LT</t>
  </si>
  <si>
    <t>Anchura total del armario (mm)</t>
  </si>
  <si>
    <t>Paso entre puertas (mm)</t>
  </si>
  <si>
    <t>Peso máximo para dos puertas (kg)</t>
  </si>
  <si>
    <t>Reveal inferior - min 0 max 2</t>
  </si>
  <si>
    <t>Grosor del panel lateral (mm) - mín. 18 mm</t>
  </si>
  <si>
    <t>Bisagras</t>
  </si>
  <si>
    <t>Acabado</t>
  </si>
  <si>
    <t>Tipo de puerta</t>
  </si>
  <si>
    <t>Peso massimo per due porte (kg)</t>
  </si>
  <si>
    <t>Sormonto della porta interna (lato cerniera) su SPI (mm)</t>
  </si>
  <si>
    <t>Innentürauflage (Scharnierseite) auf SPI (mm)</t>
  </si>
  <si>
    <t>Recouvrement de la porte intérieure (côté charnières) sur SPI (mm)</t>
  </si>
  <si>
    <t>Sobreposição da porta interior (lado com dobradiças) no SPI (mm)</t>
  </si>
  <si>
    <t>Revestimiento interior de la puerta (lado batiente) en SPI (mm)</t>
  </si>
  <si>
    <t>Código</t>
  </si>
  <si>
    <t>Beschreibung</t>
  </si>
  <si>
    <t>Descrição</t>
  </si>
  <si>
    <t>Descripción</t>
  </si>
  <si>
    <t>recommended</t>
  </si>
  <si>
    <t>empfohlen</t>
  </si>
  <si>
    <t>recommandé</t>
  </si>
  <si>
    <t>recomendado</t>
  </si>
  <si>
    <t>consigliato</t>
  </si>
  <si>
    <t>Référence</t>
  </si>
  <si>
    <t>Qtté</t>
  </si>
  <si>
    <t>CHOIX DE LA COMPOSITION DU MEUBLE</t>
  </si>
  <si>
    <t>Distanza base da terra - min 35 mm</t>
  </si>
  <si>
    <t>Base height  (mm) - min 35 mm</t>
  </si>
  <si>
    <t>Sockelhöhe - min 35 mm</t>
  </si>
  <si>
    <t>Distance de la base par rapport au sol - min 35 mm</t>
  </si>
  <si>
    <t>Altura da base - min 35 mm</t>
  </si>
  <si>
    <t>Altura de la base - min 35 mm</t>
  </si>
  <si>
    <t>Jeu entre les portes (mm)</t>
  </si>
  <si>
    <t>Jeu inférieur - min 0 max 2</t>
  </si>
  <si>
    <t>Ouverture simple à gauche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</si>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</sst>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0]General"/>
  </numFmts>
  <fonts count="1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4616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8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rgb="FF7F7F7F"/>
      </top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medium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3F3F3F"/>
      </left>
      <right style="medium">
        <color indexed="64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3" fillId="0" borderId="0"/>
    <xf numFmtId="164" fontId="4" fillId="0" borderId="0"/>
    <xf numFmtId="43" fontId="3" fillId="0" borderId="0" applyFont="0" applyFill="0" applyBorder="0" applyAlignment="0" applyProtection="0"/>
    <xf numFmtId="0" fontId="13" fillId="3" borderId="72" applyNumberFormat="0" applyAlignment="0" applyProtection="0"/>
  </cellStyleXfs>
  <cellXfs count="16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0" xfId="0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10" xfId="0" applyBorder="1"/>
    <xf numFmtId="0" fontId="0" fillId="0" borderId="36" xfId="0" applyBorder="1"/>
    <xf numFmtId="0" fontId="0" fillId="0" borderId="50" xfId="0" applyBorder="1"/>
    <xf numFmtId="0" fontId="0" fillId="0" borderId="28" xfId="0" applyBorder="1" applyAlignment="1">
      <alignment horizontal="center"/>
    </xf>
    <xf numFmtId="0" fontId="2" fillId="0" borderId="54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1" fillId="2" borderId="1" xfId="1" applyAlignment="1" applyProtection="1">
      <alignment horizontal="center"/>
      <protection locked="0"/>
    </xf>
    <xf numFmtId="0" fontId="1" fillId="2" borderId="11" xfId="1" applyBorder="1" applyAlignment="1" applyProtection="1">
      <alignment horizontal="center"/>
      <protection locked="0"/>
    </xf>
    <xf numFmtId="0" fontId="0" fillId="0" borderId="63" xfId="0" applyBorder="1"/>
    <xf numFmtId="0" fontId="0" fillId="0" borderId="14" xfId="0" applyBorder="1"/>
    <xf numFmtId="0" fontId="0" fillId="0" borderId="64" xfId="0" applyBorder="1"/>
    <xf numFmtId="0" fontId="0" fillId="0" borderId="65" xfId="0" applyBorder="1"/>
    <xf numFmtId="0" fontId="0" fillId="0" borderId="67" xfId="0" applyBorder="1"/>
    <xf numFmtId="0" fontId="0" fillId="0" borderId="68" xfId="0" applyBorder="1"/>
    <xf numFmtId="0" fontId="0" fillId="0" borderId="66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2" fontId="5" fillId="0" borderId="11" xfId="3" applyNumberFormat="1" applyFont="1" applyBorder="1" applyAlignment="1">
      <alignment horizontal="left" vertical="center"/>
    </xf>
    <xf numFmtId="2" fontId="5" fillId="0" borderId="14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9" xfId="0" applyBorder="1"/>
    <xf numFmtId="0" fontId="0" fillId="0" borderId="70" xfId="0" applyBorder="1"/>
    <xf numFmtId="2" fontId="5" fillId="0" borderId="11" xfId="2" applyNumberFormat="1" applyFont="1" applyBorder="1" applyAlignment="1">
      <alignment horizontal="center" vertical="center"/>
    </xf>
    <xf numFmtId="0" fontId="6" fillId="0" borderId="0" xfId="0" applyFont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1" fillId="0" borderId="33" xfId="0" applyFont="1" applyBorder="1"/>
    <xf numFmtId="0" fontId="11" fillId="0" borderId="25" xfId="0" applyFont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5" xfId="0" applyFont="1" applyBorder="1" applyAlignment="1">
      <alignment vertical="center"/>
    </xf>
    <xf numFmtId="0" fontId="11" fillId="0" borderId="34" xfId="0" applyFont="1" applyBorder="1"/>
    <xf numFmtId="0" fontId="11" fillId="0" borderId="12" xfId="0" applyFont="1" applyBorder="1"/>
    <xf numFmtId="0" fontId="11" fillId="0" borderId="35" xfId="0" applyFont="1" applyBorder="1"/>
    <xf numFmtId="0" fontId="7" fillId="0" borderId="0" xfId="0" applyFont="1" applyAlignment="1">
      <alignment vertical="center"/>
    </xf>
    <xf numFmtId="0" fontId="11" fillId="0" borderId="30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34" xfId="0" applyFont="1" applyBorder="1"/>
    <xf numFmtId="0" fontId="6" fillId="0" borderId="12" xfId="0" applyFont="1" applyBorder="1"/>
    <xf numFmtId="0" fontId="6" fillId="0" borderId="35" xfId="0" applyFont="1" applyBorder="1"/>
    <xf numFmtId="0" fontId="8" fillId="0" borderId="71" xfId="0" applyFont="1" applyBorder="1" applyAlignment="1">
      <alignment vertical="center"/>
    </xf>
    <xf numFmtId="0" fontId="10" fillId="0" borderId="0" xfId="1" applyFont="1" applyFill="1" applyBorder="1" applyAlignment="1" applyProtection="1">
      <alignment horizontal="center"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8" xfId="0" applyBorder="1"/>
    <xf numFmtId="0" fontId="0" fillId="0" borderId="60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3" fillId="3" borderId="83" xfId="5" applyBorder="1" applyAlignment="1" applyProtection="1">
      <alignment horizontal="center" vertical="center"/>
    </xf>
    <xf numFmtId="0" fontId="13" fillId="3" borderId="82" xfId="5" applyBorder="1" applyAlignment="1" applyProtection="1">
      <alignment horizontal="center" vertical="center"/>
    </xf>
    <xf numFmtId="0" fontId="15" fillId="0" borderId="0" xfId="0" applyFont="1"/>
    <xf numFmtId="0" fontId="16" fillId="0" borderId="0" xfId="0" applyFont="1"/>
    <xf numFmtId="0" fontId="1" fillId="2" borderId="51" xfId="1" applyBorder="1" applyAlignment="1" applyProtection="1">
      <alignment horizontal="center"/>
      <protection locked="0"/>
    </xf>
    <xf numFmtId="0" fontId="1" fillId="2" borderId="52" xfId="1" applyBorder="1" applyAlignment="1" applyProtection="1">
      <alignment horizontal="center"/>
      <protection locked="0"/>
    </xf>
    <xf numFmtId="0" fontId="1" fillId="2" borderId="53" xfId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" fillId="2" borderId="55" xfId="1" applyBorder="1" applyAlignment="1" applyProtection="1">
      <alignment horizontal="center"/>
      <protection locked="0"/>
    </xf>
    <xf numFmtId="0" fontId="1" fillId="2" borderId="56" xfId="1" applyBorder="1" applyAlignment="1" applyProtection="1">
      <alignment horizontal="center"/>
      <protection locked="0"/>
    </xf>
    <xf numFmtId="0" fontId="1" fillId="2" borderId="58" xfId="1" applyBorder="1" applyAlignment="1" applyProtection="1">
      <alignment horizontal="center"/>
      <protection locked="0"/>
    </xf>
    <xf numFmtId="0" fontId="1" fillId="2" borderId="59" xfId="1" applyBorder="1" applyAlignment="1" applyProtection="1">
      <alignment horizontal="center"/>
      <protection locked="0"/>
    </xf>
    <xf numFmtId="14" fontId="1" fillId="2" borderId="58" xfId="1" applyNumberFormat="1" applyBorder="1" applyAlignment="1" applyProtection="1">
      <alignment horizontal="center"/>
      <protection locked="0"/>
    </xf>
    <xf numFmtId="0" fontId="1" fillId="2" borderId="61" xfId="1" applyBorder="1" applyAlignment="1" applyProtection="1">
      <alignment horizontal="center"/>
      <protection locked="0"/>
    </xf>
    <xf numFmtId="0" fontId="1" fillId="2" borderId="62" xfId="1" applyBorder="1" applyAlignment="1" applyProtection="1">
      <alignment horizontal="center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1" xfId="1" applyFont="1" applyAlignment="1" applyProtection="1">
      <alignment horizontal="center" vertical="center"/>
      <protection locked="0"/>
    </xf>
    <xf numFmtId="0" fontId="10" fillId="2" borderId="13" xfId="1" applyFont="1" applyBorder="1" applyAlignment="1" applyProtection="1">
      <alignment horizontal="center" vertical="center"/>
      <protection locked="0"/>
    </xf>
    <xf numFmtId="0" fontId="10" fillId="2" borderId="42" xfId="1" applyFont="1" applyBorder="1" applyAlignment="1" applyProtection="1">
      <alignment horizontal="center" vertical="center"/>
      <protection locked="0"/>
    </xf>
    <xf numFmtId="0" fontId="10" fillId="2" borderId="14" xfId="1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9" fillId="0" borderId="42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0" fontId="10" fillId="0" borderId="13" xfId="1" applyFont="1" applyFill="1" applyBorder="1" applyAlignment="1" applyProtection="1">
      <alignment horizontal="center" vertical="center"/>
    </xf>
    <xf numFmtId="0" fontId="10" fillId="0" borderId="42" xfId="1" applyFont="1" applyFill="1" applyBorder="1" applyAlignment="1" applyProtection="1">
      <alignment horizontal="center" vertical="center"/>
    </xf>
    <xf numFmtId="0" fontId="10" fillId="0" borderId="14" xfId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10" fillId="2" borderId="13" xfId="1" applyNumberFormat="1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>
      <alignment horizontal="center" vertical="center"/>
    </xf>
    <xf numFmtId="2" fontId="10" fillId="2" borderId="73" xfId="1" applyNumberFormat="1" applyFont="1" applyBorder="1" applyAlignment="1" applyProtection="1">
      <alignment horizontal="center" vertical="center"/>
      <protection locked="0"/>
    </xf>
    <xf numFmtId="2" fontId="10" fillId="2" borderId="74" xfId="1" applyNumberFormat="1" applyFont="1" applyBorder="1" applyAlignment="1" applyProtection="1">
      <alignment horizontal="center" vertical="center"/>
      <protection locked="0"/>
    </xf>
    <xf numFmtId="2" fontId="10" fillId="2" borderId="75" xfId="1" applyNumberFormat="1" applyFont="1" applyBorder="1" applyAlignment="1" applyProtection="1">
      <alignment horizontal="center" vertical="center"/>
      <protection locked="0"/>
    </xf>
    <xf numFmtId="0" fontId="10" fillId="2" borderId="11" xfId="1" applyFont="1" applyBorder="1" applyAlignment="1" applyProtection="1">
      <alignment horizontal="center" vertical="center"/>
      <protection locked="0"/>
    </xf>
  </cellXfs>
  <cellStyles count="6">
    <cellStyle name="Excel Built-in Normal" xfId="3" xr:uid="{847784DE-3297-4A3F-B067-ADD7CD136AF6}"/>
    <cellStyle name="Input" xfId="1" builtinId="20"/>
    <cellStyle name="Migliaia 2" xfId="4" xr:uid="{57AB5295-0E8A-41F7-9412-367E0913FD4A}"/>
    <cellStyle name="Normale" xfId="0" builtinId="0"/>
    <cellStyle name="Normale 7" xfId="2" xr:uid="{EB4A47E2-DECB-4FEE-BD61-A4F145D77689}"/>
    <cellStyle name="Output" xfId="5" builtinId="21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3F3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1676</xdr:rowOff>
    </xdr:from>
    <xdr:to>
      <xdr:col>45</xdr:col>
      <xdr:colOff>133350</xdr:colOff>
      <xdr:row>7</xdr:row>
      <xdr:rowOff>150883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EDE3B1E-D8B0-27F7-68D4-F4BFC3B9C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76"/>
          <a:ext cx="21974175" cy="1482707"/>
        </a:xfrm>
        <a:prstGeom prst="rect">
          <a:avLst/>
        </a:prstGeom>
      </xdr:spPr>
    </xdr:pic>
    <xdr:clientData/>
  </xdr:twoCellAnchor>
  <xdr:twoCellAnchor editAs="oneCell">
    <xdr:from>
      <xdr:col>33</xdr:col>
      <xdr:colOff>35700</xdr:colOff>
      <xdr:row>24</xdr:row>
      <xdr:rowOff>111900</xdr:rowOff>
    </xdr:from>
    <xdr:to>
      <xdr:col>45</xdr:col>
      <xdr:colOff>104774</xdr:colOff>
      <xdr:row>50</xdr:row>
      <xdr:rowOff>112304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56B6C764-1D82-2D7F-81EB-6E1F12AE3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8550" y="4674375"/>
          <a:ext cx="3840975" cy="6368547"/>
        </a:xfrm>
        <a:prstGeom prst="rect">
          <a:avLst/>
        </a:prstGeom>
      </xdr:spPr>
    </xdr:pic>
    <xdr:clientData/>
  </xdr:twoCellAnchor>
  <xdr:twoCellAnchor editAs="oneCell">
    <xdr:from>
      <xdr:col>12</xdr:col>
      <xdr:colOff>122466</xdr:colOff>
      <xdr:row>56</xdr:row>
      <xdr:rowOff>85725</xdr:rowOff>
    </xdr:from>
    <xdr:to>
      <xdr:col>12</xdr:col>
      <xdr:colOff>1204486</xdr:colOff>
      <xdr:row>65</xdr:row>
      <xdr:rowOff>159750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99DDF095-FBE5-C06C-9ED0-09DB69DD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2" y="12726761"/>
          <a:ext cx="1082020" cy="2183132"/>
        </a:xfrm>
        <a:prstGeom prst="rect">
          <a:avLst/>
        </a:prstGeom>
      </xdr:spPr>
    </xdr:pic>
    <xdr:clientData/>
  </xdr:twoCellAnchor>
  <xdr:twoCellAnchor editAs="oneCell">
    <xdr:from>
      <xdr:col>12</xdr:col>
      <xdr:colOff>148632</xdr:colOff>
      <xdr:row>34</xdr:row>
      <xdr:rowOff>30256</xdr:rowOff>
    </xdr:from>
    <xdr:to>
      <xdr:col>12</xdr:col>
      <xdr:colOff>1319837</xdr:colOff>
      <xdr:row>42</xdr:row>
      <xdr:rowOff>236656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A460586C-518E-8585-47A6-0CFC6B84E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8918" y="6684149"/>
          <a:ext cx="1171205" cy="2383543"/>
        </a:xfrm>
        <a:prstGeom prst="rect">
          <a:avLst/>
        </a:prstGeom>
      </xdr:spPr>
    </xdr:pic>
    <xdr:clientData/>
  </xdr:twoCellAnchor>
  <xdr:twoCellAnchor editAs="oneCell">
    <xdr:from>
      <xdr:col>12</xdr:col>
      <xdr:colOff>64595</xdr:colOff>
      <xdr:row>45</xdr:row>
      <xdr:rowOff>47624</xdr:rowOff>
    </xdr:from>
    <xdr:to>
      <xdr:col>12</xdr:col>
      <xdr:colOff>1247180</xdr:colOff>
      <xdr:row>53</xdr:row>
      <xdr:rowOff>234974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6171DABA-9D94-D23D-7365-3164B26C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881" y="9695088"/>
          <a:ext cx="1182585" cy="2364493"/>
        </a:xfrm>
        <a:prstGeom prst="rect">
          <a:avLst/>
        </a:prstGeom>
      </xdr:spPr>
    </xdr:pic>
    <xdr:clientData/>
  </xdr:twoCellAnchor>
  <xdr:twoCellAnchor editAs="oneCell">
    <xdr:from>
      <xdr:col>37</xdr:col>
      <xdr:colOff>85725</xdr:colOff>
      <xdr:row>54</xdr:row>
      <xdr:rowOff>57150</xdr:rowOff>
    </xdr:from>
    <xdr:to>
      <xdr:col>44</xdr:col>
      <xdr:colOff>225450</xdr:colOff>
      <xdr:row>59</xdr:row>
      <xdr:rowOff>250156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A2454A2A-5948-E287-B3F1-4C757CE10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5875" y="12001500"/>
          <a:ext cx="2340000" cy="1545556"/>
        </a:xfrm>
        <a:prstGeom prst="rect">
          <a:avLst/>
        </a:prstGeom>
      </xdr:spPr>
    </xdr:pic>
    <xdr:clientData/>
  </xdr:twoCellAnchor>
  <xdr:twoCellAnchor editAs="oneCell">
    <xdr:from>
      <xdr:col>19</xdr:col>
      <xdr:colOff>264300</xdr:colOff>
      <xdr:row>54</xdr:row>
      <xdr:rowOff>45225</xdr:rowOff>
    </xdr:from>
    <xdr:to>
      <xdr:col>26</xdr:col>
      <xdr:colOff>109480</xdr:colOff>
      <xdr:row>60</xdr:row>
      <xdr:rowOff>225975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88012586-6CF8-E9C3-535F-4A70B16FE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6600" y="11989575"/>
          <a:ext cx="2045455" cy="1800000"/>
        </a:xfrm>
        <a:prstGeom prst="rect">
          <a:avLst/>
        </a:prstGeom>
      </xdr:spPr>
    </xdr:pic>
    <xdr:clientData/>
  </xdr:twoCellAnchor>
  <xdr:twoCellAnchor editAs="oneCell">
    <xdr:from>
      <xdr:col>28</xdr:col>
      <xdr:colOff>223801</xdr:colOff>
      <xdr:row>54</xdr:row>
      <xdr:rowOff>61875</xdr:rowOff>
    </xdr:from>
    <xdr:to>
      <xdr:col>35</xdr:col>
      <xdr:colOff>68981</xdr:colOff>
      <xdr:row>60</xdr:row>
      <xdr:rowOff>242625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325BC87B-D686-CD87-2B38-19346AF39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026" y="12006225"/>
          <a:ext cx="2045455" cy="180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85725</xdr:colOff>
      <xdr:row>8</xdr:row>
      <xdr:rowOff>47625</xdr:rowOff>
    </xdr:from>
    <xdr:to>
      <xdr:col>45</xdr:col>
      <xdr:colOff>66675</xdr:colOff>
      <xdr:row>21</xdr:row>
      <xdr:rowOff>161925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44396476-9201-E785-DBE9-E81D320BD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50" y="1543050"/>
          <a:ext cx="7524750" cy="2590800"/>
        </a:xfrm>
        <a:prstGeom prst="rect">
          <a:avLst/>
        </a:prstGeom>
      </xdr:spPr>
    </xdr:pic>
    <xdr:clientData/>
  </xdr:twoCellAnchor>
  <xdr:twoCellAnchor editAs="oneCell">
    <xdr:from>
      <xdr:col>1</xdr:col>
      <xdr:colOff>7125</xdr:colOff>
      <xdr:row>8</xdr:row>
      <xdr:rowOff>45225</xdr:rowOff>
    </xdr:from>
    <xdr:to>
      <xdr:col>2</xdr:col>
      <xdr:colOff>3864750</xdr:colOff>
      <xdr:row>21</xdr:row>
      <xdr:rowOff>159525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E63BFCC7-10D9-FEBA-7CC9-124E42FC3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450" y="1540650"/>
          <a:ext cx="4895850" cy="2590800"/>
        </a:xfrm>
        <a:prstGeom prst="rect">
          <a:avLst/>
        </a:prstGeom>
      </xdr:spPr>
    </xdr:pic>
    <xdr:clientData/>
  </xdr:twoCellAnchor>
  <xdr:twoCellAnchor editAs="oneCell">
    <xdr:from>
      <xdr:col>4</xdr:col>
      <xdr:colOff>61875</xdr:colOff>
      <xdr:row>8</xdr:row>
      <xdr:rowOff>61875</xdr:rowOff>
    </xdr:from>
    <xdr:to>
      <xdr:col>15</xdr:col>
      <xdr:colOff>170733</xdr:colOff>
      <xdr:row>21</xdr:row>
      <xdr:rowOff>176175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2FC77E73-6497-C40F-971B-16B5C32E8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500" y="1557300"/>
          <a:ext cx="4895850" cy="2590800"/>
        </a:xfrm>
        <a:prstGeom prst="rect">
          <a:avLst/>
        </a:prstGeom>
      </xdr:spPr>
    </xdr:pic>
    <xdr:clientData/>
  </xdr:twoCellAnchor>
  <xdr:twoCellAnchor editAs="oneCell">
    <xdr:from>
      <xdr:col>19</xdr:col>
      <xdr:colOff>13608</xdr:colOff>
      <xdr:row>26</xdr:row>
      <xdr:rowOff>81643</xdr:rowOff>
    </xdr:from>
    <xdr:to>
      <xdr:col>31</xdr:col>
      <xdr:colOff>182336</xdr:colOff>
      <xdr:row>50</xdr:row>
      <xdr:rowOff>151039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FD3A6F5-825C-DA2C-D1A1-F25BABEAC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5179" y="5034643"/>
          <a:ext cx="3924300" cy="6124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VS\manuali_in_costruzione\13%20Folder\Order%20form\old.xlsx" TargetMode="External"/><Relationship Id="rId1" Type="http://schemas.openxmlformats.org/officeDocument/2006/relationships/externalLinkPath" Target="file:///\\SERVERVS\manuali_in_costruzione\13%20Folder\Order%20form\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ppiaN"/>
      <sheetName val="Doppia"/>
      <sheetName val="old"/>
    </sheetNames>
    <sheetDataSet>
      <sheetData sheetId="0">
        <row r="2">
          <cell r="B2" t="str">
            <v>ENG</v>
          </cell>
        </row>
        <row r="30">
          <cell r="E30">
            <v>40</v>
          </cell>
        </row>
        <row r="31">
          <cell r="E31"/>
        </row>
        <row r="32">
          <cell r="E32">
            <v>19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952A-D13D-4E7C-A2B5-C5551925D6B3}">
  <dimension ref="B2:CJ263"/>
  <sheetViews>
    <sheetView showGridLines="0" topLeftCell="AZ1" zoomScaleNormal="100" workbookViewId="0">
      <selection activeCell="BT8" sqref="BT8"/>
    </sheetView>
  </sheetViews>
  <sheetFormatPr defaultRowHeight="15" x14ac:dyDescent="0.25"/>
  <cols>
    <col min="1" max="1" width="3.7109375" customWidth="1"/>
    <col min="2" max="2" width="15.42578125" bestFit="1" customWidth="1"/>
    <col min="3" max="3" width="45.140625" bestFit="1" customWidth="1"/>
    <col min="4" max="4" width="9.7109375" bestFit="1" customWidth="1"/>
    <col min="5" max="5" width="21.42578125" bestFit="1" customWidth="1"/>
    <col min="6" max="7" width="21.42578125" customWidth="1"/>
    <col min="8" max="8" width="9.140625" customWidth="1"/>
    <col min="11" max="11" width="10.85546875" bestFit="1" customWidth="1"/>
    <col min="12" max="12" width="9.140625" customWidth="1"/>
    <col min="13" max="14" width="0.85546875" customWidth="1"/>
    <col min="15" max="15" width="5.7109375" customWidth="1"/>
    <col min="16" max="16" width="9.140625" customWidth="1"/>
    <col min="17" max="17" width="5.7109375" customWidth="1"/>
    <col min="18" max="18" width="0.5703125" customWidth="1"/>
    <col min="19" max="19" width="5.7109375" customWidth="1"/>
    <col min="21" max="21" width="5.7109375" customWidth="1"/>
    <col min="22" max="23" width="0.85546875" customWidth="1"/>
    <col min="25" max="25" width="1.7109375" customWidth="1"/>
    <col min="31" max="31" width="0.7109375" customWidth="1"/>
    <col min="32" max="32" width="1.7109375" customWidth="1"/>
    <col min="34" max="34" width="1" customWidth="1"/>
    <col min="35" max="35" width="11.140625" bestFit="1" customWidth="1"/>
    <col min="36" max="36" width="3.42578125" customWidth="1"/>
    <col min="37" max="38" width="3" customWidth="1"/>
    <col min="39" max="39" width="9.140625" customWidth="1"/>
    <col min="40" max="41" width="10.7109375" customWidth="1"/>
    <col min="42" max="42" width="9.140625" customWidth="1"/>
    <col min="43" max="46" width="10.7109375" customWidth="1"/>
    <col min="47" max="47" width="9.140625" customWidth="1"/>
    <col min="48" max="48" width="40.42578125" bestFit="1" customWidth="1"/>
    <col min="49" max="50" width="9.140625" customWidth="1"/>
    <col min="51" max="51" width="25.42578125" customWidth="1"/>
    <col min="52" max="63" width="9.140625" customWidth="1"/>
    <col min="66" max="66" width="10.7109375" bestFit="1" customWidth="1"/>
    <col min="72" max="72" width="27.85546875" bestFit="1" customWidth="1"/>
    <col min="73" max="73" width="39.85546875" bestFit="1" customWidth="1"/>
    <col min="74" max="74" width="27.42578125" bestFit="1" customWidth="1"/>
    <col min="75" max="75" width="30.7109375" bestFit="1" customWidth="1"/>
  </cols>
  <sheetData>
    <row r="2" spans="2:88" x14ac:dyDescent="0.25">
      <c r="B2" s="51" t="str">
        <f>[1]DoppiaN!B2</f>
        <v>ENG</v>
      </c>
      <c r="BL2" s="129" t="s">
        <v>133</v>
      </c>
      <c r="BM2" s="129"/>
      <c r="BO2" s="21" t="s">
        <v>216</v>
      </c>
      <c r="BS2">
        <f>(3*Draft!D44)/4</f>
        <v>0</v>
      </c>
    </row>
    <row r="3" spans="2:88" x14ac:dyDescent="0.25">
      <c r="BL3" s="21"/>
      <c r="BM3" s="21"/>
      <c r="BO3" s="21"/>
      <c r="BS3">
        <f>IF(OR(BS2=0,BS2&gt;750),750,BS2)</f>
        <v>750</v>
      </c>
    </row>
    <row r="4" spans="2:88" ht="15.75" thickBot="1" x14ac:dyDescent="0.3">
      <c r="AV4">
        <f>IF(OR(B10=AY27,B10=AY28,B10=AY29,B10=AY30),19,18)</f>
        <v>19</v>
      </c>
      <c r="AY4" t="s">
        <v>65</v>
      </c>
      <c r="AZ4">
        <f>IF(Draft!$A$32=AY4,1,0)</f>
        <v>0</v>
      </c>
      <c r="BD4" t="str">
        <f>IFERROR(INDEX(BC27:BC34,MATCH(1,BB27:BB34,0)),"")</f>
        <v/>
      </c>
      <c r="BE4">
        <f>$D$23-11.5-3.5</f>
        <v>-15</v>
      </c>
      <c r="BF4" t="str">
        <f>IF(AND(BE4&gt;=4,$AV$5=1),BD4,BG4)</f>
        <v/>
      </c>
      <c r="BG4" t="str">
        <f>IFERROR(VLOOKUP(1,$BB$29:$BC$34,2,FALSE),"")</f>
        <v/>
      </c>
      <c r="BL4" s="22">
        <f>IF(BL14=0,((Draft!D57-Draft!D53-Draft!D55-Draft!D52+Draft!D54+Draft!D56)/2),((Draft!D57-(2*Draft!D53)-(3*Draft!D52)+(2*Draft!D54))/4))</f>
        <v>0</v>
      </c>
      <c r="BM4" s="22" t="str">
        <f>IF(OR(BL4&lt;350,BL4&gt;750),INDEX(BD88:BD93,MATCH(1,$AZ$4:$AZ$9,0)),BL4)</f>
        <v>Check LT</v>
      </c>
      <c r="BN4">
        <f>IF(SingolaSx!BL14=0,700+Draft!D52+(Draft!D53-Draft!D54)+(Draft!D55-Draft!D56),1500+Draft!D52+(Draft!D53-Draft!D54)+(Draft!D55-Draft!D56))</f>
        <v>1500</v>
      </c>
      <c r="BO4" s="21">
        <f>IF(SingolaSx!BL14=0,1500+Draft!D52+(Draft!D53-Draft!D54)+(Draft!D55-Draft!D56),3000+(3*Draft!D52)+(Draft!D53-Draft!D54)+(Draft!D55-Draft!D56))</f>
        <v>3000</v>
      </c>
    </row>
    <row r="5" spans="2:88" x14ac:dyDescent="0.25">
      <c r="B5" s="48" t="str">
        <f>INDEX(AY56:AY61,MATCH(1,AZ4:AZ9,0))</f>
        <v>Contact name</v>
      </c>
      <c r="C5" s="131" t="s">
        <v>15</v>
      </c>
      <c r="D5" s="132"/>
      <c r="AV5">
        <f>IF(OR(B10=AY27,B10=AY28),1,0)</f>
        <v>1</v>
      </c>
      <c r="AY5" t="s">
        <v>66</v>
      </c>
      <c r="AZ5">
        <f>IF(Draft!$A$32=AY5,1,0)</f>
        <v>1</v>
      </c>
      <c r="BD5" t="str">
        <f>IFERROR(INDEX(BD27:BD28,MATCH(1,BB27:BB32,0)),"")</f>
        <v/>
      </c>
      <c r="BE5">
        <f>$D$23-11.5-4.5</f>
        <v>-16</v>
      </c>
      <c r="BF5" t="str">
        <f t="shared" ref="BF5:BF8" si="0">IF(AND(BE5&gt;=4,$AV$5=1),BD5,"")</f>
        <v/>
      </c>
    </row>
    <row r="6" spans="2:88" x14ac:dyDescent="0.25">
      <c r="B6" s="49" t="str">
        <f>INDEX(AY63:AY68,MATCH(1,AZ4:AZ9,0))</f>
        <v>Company</v>
      </c>
      <c r="C6" s="133" t="s">
        <v>15</v>
      </c>
      <c r="D6" s="134"/>
      <c r="AY6" t="s">
        <v>67</v>
      </c>
      <c r="AZ6">
        <f>IF(Draft!$A$32=AY6,1,0)</f>
        <v>0</v>
      </c>
      <c r="BD6" t="str">
        <f>IFERROR(INDEX(BE27:BE28,MATCH(1,BB27:BB32,0)),"")</f>
        <v/>
      </c>
      <c r="BE6">
        <f>$D$23-11.5-5.5</f>
        <v>-17</v>
      </c>
      <c r="BF6" t="str">
        <f t="shared" si="0"/>
        <v/>
      </c>
      <c r="BL6" t="str">
        <f>INDEX(BD67:BD72,MATCH(1,$AZ$4:$AZ$9,0))</f>
        <v>Wood</v>
      </c>
    </row>
    <row r="7" spans="2:88" x14ac:dyDescent="0.25">
      <c r="B7" s="49" t="str">
        <f>INDEX(AY70:AY75,MATCH(1,AZ4:AZ9,0))</f>
        <v>Date</v>
      </c>
      <c r="C7" s="135" t="s">
        <v>15</v>
      </c>
      <c r="D7" s="134"/>
      <c r="AY7" t="s">
        <v>68</v>
      </c>
      <c r="AZ7">
        <f>IF(Draft!$A$32=AY7,1,0)</f>
        <v>0</v>
      </c>
      <c r="BD7" t="str">
        <f>IFERROR(INDEX(BF27:BF28,MATCH(1,BB27:BB32,0)),"")</f>
        <v/>
      </c>
      <c r="BE7">
        <f>$D$23-11.5-6.5</f>
        <v>-18</v>
      </c>
      <c r="BF7" t="str">
        <f t="shared" si="0"/>
        <v/>
      </c>
      <c r="BL7" t="str">
        <f>INDEX(BD74:BD79,MATCH(1,$AZ$4:$AZ$9,0))</f>
        <v>Aluminum frame</v>
      </c>
      <c r="BS7" t="s">
        <v>173</v>
      </c>
    </row>
    <row r="8" spans="2:88" ht="15.75" thickBot="1" x14ac:dyDescent="0.3">
      <c r="B8" s="50" t="str">
        <f>INDEX(AY77:AY82,MATCH(1,AZ4:AZ9,0))</f>
        <v>Project</v>
      </c>
      <c r="C8" s="136" t="s">
        <v>15</v>
      </c>
      <c r="D8" s="137"/>
      <c r="Q8" s="126" t="str">
        <f>B30&amp;" = "&amp;D30</f>
        <v>LT = 0</v>
      </c>
      <c r="R8" s="127"/>
      <c r="S8" s="128"/>
      <c r="AY8" t="s">
        <v>69</v>
      </c>
      <c r="AZ8">
        <f>IF(Draft!$A$32=AY8,1,0)</f>
        <v>0</v>
      </c>
      <c r="BD8" t="str">
        <f>IFERROR(INDEX(BG27:BG28,MATCH(1,BB27:BB32,0)),"")</f>
        <v/>
      </c>
      <c r="BE8">
        <f>$D$23-11.5-7</f>
        <v>-18.5</v>
      </c>
      <c r="BF8" t="str">
        <f t="shared" si="0"/>
        <v/>
      </c>
      <c r="BL8" t="str">
        <f>INDEX(BD81:BD86,MATCH(1,$AZ$4:$AZ$9,0))</f>
        <v>Wood + Aluminum Side Profiles</v>
      </c>
      <c r="BS8" t="s">
        <v>329</v>
      </c>
    </row>
    <row r="9" spans="2:88" x14ac:dyDescent="0.25">
      <c r="M9" s="57"/>
      <c r="N9" s="58"/>
      <c r="O9" s="58"/>
      <c r="P9" s="58"/>
      <c r="T9" s="58"/>
      <c r="U9" s="58"/>
      <c r="V9" s="58"/>
      <c r="W9" s="37"/>
      <c r="AY9" t="s">
        <v>70</v>
      </c>
      <c r="AZ9">
        <f>IF(Draft!$A$32=AY9,1,0)</f>
        <v>0</v>
      </c>
    </row>
    <row r="10" spans="2:88" x14ac:dyDescent="0.25">
      <c r="B10" s="123" t="s">
        <v>108</v>
      </c>
      <c r="C10" s="124"/>
      <c r="D10" s="125"/>
      <c r="F10">
        <f>VLOOKUP($B$10,$AY$27:$BA$34,3,FALSE)</f>
        <v>2</v>
      </c>
      <c r="G10">
        <f>VLOOKUP($B$10,$AY$27:$AZ$34,2,FALSE)</f>
        <v>2</v>
      </c>
      <c r="M10" s="59"/>
      <c r="Q10" s="126" t="str">
        <f>B28&amp;" = "&amp;D28</f>
        <v>LI = 0</v>
      </c>
      <c r="R10" s="127"/>
      <c r="S10" s="128"/>
      <c r="W10" s="20"/>
      <c r="AF10" s="126" t="str">
        <f>B34&amp;" = "&amp;D34</f>
        <v>T = 19</v>
      </c>
      <c r="AG10" s="128"/>
      <c r="AH10" s="64"/>
      <c r="AY10" t="s">
        <v>172</v>
      </c>
      <c r="AZ10">
        <f>IF(Draft!$A$32=AY10,1,0)</f>
        <v>0</v>
      </c>
      <c r="BL10">
        <f>IF(BN14=1,18,0)</f>
        <v>18</v>
      </c>
      <c r="BY10" s="64" t="s">
        <v>205</v>
      </c>
      <c r="BZ10" s="64" t="s">
        <v>206</v>
      </c>
      <c r="CA10" s="64" t="s">
        <v>207</v>
      </c>
      <c r="CB10" s="64" t="s">
        <v>208</v>
      </c>
      <c r="CC10" s="64" t="s">
        <v>209</v>
      </c>
      <c r="CD10" s="64" t="s">
        <v>210</v>
      </c>
      <c r="CE10" s="64" t="s">
        <v>211</v>
      </c>
      <c r="CF10" s="64" t="s">
        <v>212</v>
      </c>
      <c r="CG10" s="64" t="s">
        <v>213</v>
      </c>
      <c r="CH10" s="64" t="s">
        <v>89</v>
      </c>
      <c r="CI10" s="64" t="s">
        <v>214</v>
      </c>
      <c r="CJ10" s="64" t="s">
        <v>215</v>
      </c>
    </row>
    <row r="11" spans="2:88" ht="15.75" thickBot="1" x14ac:dyDescent="0.3">
      <c r="B11" s="123" t="str">
        <f>IF(B2="ITA",AY44,AY45)</f>
        <v>Left-hand opening</v>
      </c>
      <c r="C11" s="124"/>
      <c r="D11" s="125"/>
      <c r="G11">
        <f>VLOOKUP($B$11,$AY$37:$AZ$49,2,FALSE)</f>
        <v>2</v>
      </c>
      <c r="M11" s="11"/>
      <c r="O11" s="6"/>
      <c r="P11" s="7"/>
      <c r="T11" s="7"/>
      <c r="U11" s="8"/>
      <c r="W11" s="10"/>
      <c r="Z11" s="138" t="str">
        <f>B15&amp;" = "&amp;D15</f>
        <v>SPC = 0</v>
      </c>
      <c r="AF11" s="35"/>
      <c r="BH11" s="140"/>
      <c r="BY11" s="64">
        <f>IF(ISBLANK(Draft!A23),0,1)</f>
        <v>1</v>
      </c>
      <c r="BZ11" s="64">
        <f>IF(ISBLANK(Draft!E23),0,1)</f>
        <v>1</v>
      </c>
      <c r="CA11" s="64">
        <f>IF(ISBLANK(Draft!V23),0,1)</f>
        <v>1</v>
      </c>
      <c r="CB11" s="64">
        <f>IF(ISBLANK(Draft!AH52),0,1)</f>
        <v>1</v>
      </c>
      <c r="CC11" s="64">
        <f>IF(ISBLANK(Draft!S52),0,1)</f>
        <v>1</v>
      </c>
      <c r="CD11" s="64">
        <f>IF(ISBLANK(Draft!T54),0,1)</f>
        <v>1</v>
      </c>
      <c r="CE11" s="64">
        <f>IF(ISBLANK(Draft!AC54),0,1)</f>
        <v>1</v>
      </c>
      <c r="CF11" s="64">
        <f>IF(ISBLANK(Draft!AL54),0,1)</f>
        <v>1</v>
      </c>
      <c r="CG11" s="64">
        <f>IF(ISBLANK(Draft!AL54),0,1)</f>
        <v>1</v>
      </c>
      <c r="CH11" s="64">
        <f>IF(ISBLANK(Draft!J34),0,1)</f>
        <v>1</v>
      </c>
      <c r="CI11" s="64">
        <f>IF(ISBLANK(Draft!J45),0,1)</f>
        <v>1</v>
      </c>
      <c r="CJ11" s="64">
        <f>IF(ISBLANK(Draft!J54),0,1)</f>
        <v>0</v>
      </c>
    </row>
    <row r="12" spans="2:88" ht="15.75" thickBot="1" x14ac:dyDescent="0.3">
      <c r="B12" s="23"/>
      <c r="D12" s="24"/>
      <c r="K12" s="20"/>
      <c r="L12" s="55"/>
      <c r="M12" s="26"/>
      <c r="N12" s="28"/>
      <c r="O12" s="2"/>
      <c r="P12" s="2"/>
      <c r="Q12" s="2"/>
      <c r="R12" s="2"/>
      <c r="S12" s="2"/>
      <c r="T12" s="2"/>
      <c r="U12" s="2"/>
      <c r="V12" s="40"/>
      <c r="W12" s="41"/>
      <c r="X12" s="12"/>
      <c r="Y12" s="15"/>
      <c r="Z12" s="139"/>
      <c r="AB12" s="26"/>
      <c r="AC12" s="27"/>
      <c r="AD12" s="28"/>
      <c r="AF12" s="4"/>
      <c r="AG12" s="16"/>
      <c r="BH12" s="140"/>
    </row>
    <row r="13" spans="2:88" x14ac:dyDescent="0.25">
      <c r="B13" s="23"/>
      <c r="D13" s="24"/>
      <c r="K13" s="20"/>
      <c r="M13" s="29"/>
      <c r="N13" s="19"/>
      <c r="V13" s="29"/>
      <c r="W13" s="19"/>
      <c r="X13" s="37"/>
      <c r="Y13" s="14"/>
      <c r="AB13" s="29"/>
      <c r="AD13" s="19"/>
      <c r="AF13" s="5"/>
      <c r="AG13" s="17"/>
      <c r="AP13">
        <v>3</v>
      </c>
      <c r="AY13" t="s">
        <v>15</v>
      </c>
      <c r="AZ13">
        <f>IF(AY13=B11,1,0)</f>
        <v>0</v>
      </c>
      <c r="BE13">
        <f>IF(BC13=Draft!$C$40,1,0)</f>
        <v>1</v>
      </c>
      <c r="BL13" s="101" t="s">
        <v>124</v>
      </c>
      <c r="BM13" s="102" t="s">
        <v>125</v>
      </c>
      <c r="BN13" s="102" t="s">
        <v>119</v>
      </c>
      <c r="BO13" s="102" t="s">
        <v>123</v>
      </c>
      <c r="BP13" s="102" t="s">
        <v>126</v>
      </c>
      <c r="BQ13" s="103" t="s">
        <v>127</v>
      </c>
      <c r="BS13" s="22">
        <v>0</v>
      </c>
      <c r="BT13" s="63" t="str">
        <f>BS8&amp;"E79KITA010AA"</f>
        <v>VE79KITA010AA</v>
      </c>
      <c r="BU13" s="62" t="s">
        <v>138</v>
      </c>
      <c r="BY13" t="str">
        <f>IF(BY11=1,BC15,"")</f>
        <v>Single left opening</v>
      </c>
      <c r="BZ13" t="str">
        <f>IF(BZ11=1,BC14,"")</f>
        <v>Single right opening</v>
      </c>
    </row>
    <row r="14" spans="2:88" x14ac:dyDescent="0.25">
      <c r="B14" s="21" t="s">
        <v>16</v>
      </c>
      <c r="C14" s="21" t="str">
        <f>INDEX(AY126:AY131,MATCH(1,$AZ$4:$AZ$9,0))</f>
        <v>Total cabinet height (mm)</v>
      </c>
      <c r="D14" s="52">
        <f>Draft!D46</f>
        <v>0</v>
      </c>
      <c r="K14" s="20"/>
      <c r="M14" s="29"/>
      <c r="N14" s="19"/>
      <c r="V14" s="29"/>
      <c r="W14" s="19"/>
      <c r="X14" s="20"/>
      <c r="AB14" s="29"/>
      <c r="AD14" s="19"/>
      <c r="AF14" s="5"/>
      <c r="AG14" s="17"/>
      <c r="AP14">
        <v>4</v>
      </c>
      <c r="AY14" t="str">
        <f>INDEX(AY37:AY42,MATCH(1,AZ4:AZ9,0))</f>
        <v>Right-hand opening</v>
      </c>
      <c r="AZ14">
        <f>IF(AY14=B11,1,0)</f>
        <v>0</v>
      </c>
      <c r="BB14" t="s">
        <v>120</v>
      </c>
      <c r="BC14" t="str">
        <f>INDEX(BD37:BD42,MATCH(1,$AZ$4:$AZ$9,0))</f>
        <v>Single right opening</v>
      </c>
      <c r="BE14">
        <f>IF(OR(BC15=Draft!$C$40,BC14=Draft!$C$40),1,0)</f>
        <v>0</v>
      </c>
      <c r="BF14">
        <f>IF(BC14=Draft!$C$40,1,0)</f>
        <v>0</v>
      </c>
      <c r="BG14">
        <f>IF($BB$14=Draft!$C$39,1,0)</f>
        <v>0</v>
      </c>
      <c r="BH14">
        <f>IF(Draft!$D$58&lt;=500,0,1)</f>
        <v>0</v>
      </c>
      <c r="BI14">
        <f>SUM(BF14:BG14)</f>
        <v>0</v>
      </c>
      <c r="BL14" s="104">
        <f>IF(OR(BC14=Draft!$C$40,BC15=Draft!$C$40),0,1)</f>
        <v>1</v>
      </c>
      <c r="BM14" s="99">
        <f>IF(BC15=Draft!$C$40,1,0)</f>
        <v>0</v>
      </c>
      <c r="BN14" s="22">
        <f>IF(BB14=Draft!$C$39,0,1)</f>
        <v>1</v>
      </c>
      <c r="BO14" s="61">
        <f>IF(Draft!D51&lt;=500,0,1)</f>
        <v>0</v>
      </c>
      <c r="BP14" s="22" t="str">
        <f>BL14&amp;BM14&amp;BN14&amp;BO14</f>
        <v>1010</v>
      </c>
      <c r="BQ14" s="105">
        <f>BIN2DEC(BP14)</f>
        <v>10</v>
      </c>
      <c r="BS14" s="22">
        <v>4</v>
      </c>
      <c r="BT14" s="63" t="str">
        <f>BS8&amp;"E79KITA020AA"</f>
        <v>VE79KITA020AA</v>
      </c>
      <c r="BU14" s="62" t="s">
        <v>139</v>
      </c>
    </row>
    <row r="15" spans="2:88" ht="15.75" thickBot="1" x14ac:dyDescent="0.3">
      <c r="B15" s="21" t="s">
        <v>0</v>
      </c>
      <c r="C15" s="21" t="str">
        <f>INDEX(AY133:AY138,MATCH(1,$AZ$4:$AZ$9,0))</f>
        <v>Top panel thickness (mm) – min 18 mm</v>
      </c>
      <c r="D15" s="52">
        <f>Draft!D47</f>
        <v>0</v>
      </c>
      <c r="K15" s="20"/>
      <c r="M15" s="29"/>
      <c r="N15" s="19"/>
      <c r="V15" s="29"/>
      <c r="W15" s="19"/>
      <c r="X15" s="20"/>
      <c r="AB15" s="29"/>
      <c r="AD15" s="19"/>
      <c r="AF15" s="5"/>
      <c r="AG15" s="17"/>
      <c r="AP15">
        <v>5</v>
      </c>
      <c r="AY15" t="str">
        <f>INDEX(AY44:AY49,MATCH(1,AZ4:AZ9,0))</f>
        <v>Left-hand opening</v>
      </c>
      <c r="BC15" t="str">
        <f>INDEX(BD44:BD49,MATCH(1,$AZ$4:$AZ$9,0))</f>
        <v>Single left opening</v>
      </c>
      <c r="BF15">
        <f>IF(BC15=Draft!$C$40,1,0)</f>
        <v>0</v>
      </c>
      <c r="BG15">
        <f>IF($BB$14=Draft!$C$39,1,0)</f>
        <v>0</v>
      </c>
      <c r="BH15">
        <f>IF(Draft!$D$58&lt;=500,0,1)</f>
        <v>0</v>
      </c>
      <c r="BI15">
        <f>SUM(BF15:BG15)</f>
        <v>0</v>
      </c>
      <c r="BL15" s="30"/>
      <c r="BM15" s="9"/>
      <c r="BN15" s="111" t="str">
        <f>IF(BN14=1,"• min 18 mm","")</f>
        <v>• min 18 mm</v>
      </c>
      <c r="BO15" s="9"/>
      <c r="BP15" s="9"/>
      <c r="BQ15" s="31"/>
      <c r="BS15" s="22">
        <v>1</v>
      </c>
      <c r="BT15" s="63" t="str">
        <f>BS8&amp;"E79KITA030AA"</f>
        <v>VE79KITA030AA</v>
      </c>
      <c r="BU15" s="62" t="s">
        <v>140</v>
      </c>
    </row>
    <row r="16" spans="2:88" x14ac:dyDescent="0.25">
      <c r="B16" s="21" t="s">
        <v>17</v>
      </c>
      <c r="C16" s="21" t="str">
        <f>INDEX(AY140:AY145,MATCH(1,$AZ$4:$AZ$9,0))</f>
        <v>Internal cabinet height (mm)</v>
      </c>
      <c r="D16" s="22">
        <f>D14-D15-D17-D18</f>
        <v>0</v>
      </c>
      <c r="K16" s="20"/>
      <c r="M16" s="29"/>
      <c r="N16" s="19"/>
      <c r="V16" s="29"/>
      <c r="W16" s="19"/>
      <c r="X16" s="20"/>
      <c r="AB16" s="29"/>
      <c r="AD16" s="19"/>
      <c r="AF16" s="5"/>
      <c r="AG16" s="17"/>
      <c r="AO16" t="s">
        <v>84</v>
      </c>
      <c r="AP16">
        <f>1500-D26-D27+D25</f>
        <v>1500</v>
      </c>
      <c r="BC16" t="str">
        <f>INDEX(BD53:BD58,MATCH(1,$AZ$4:$AZ$9,0))</f>
        <v>Double Opening (Right + Left)</v>
      </c>
      <c r="BF16">
        <f>IF(BC16=Draft!$C$40,1,0)</f>
        <v>0</v>
      </c>
      <c r="BG16">
        <f>IF($BB$14=Draft!$C$39,1,0)</f>
        <v>0</v>
      </c>
      <c r="BH16">
        <f>IF(Draft!$D$58&lt;=500,0,1)</f>
        <v>0</v>
      </c>
      <c r="BI16">
        <f>SUM(BF16:BG16)</f>
        <v>0</v>
      </c>
      <c r="BL16" s="108" t="s">
        <v>128</v>
      </c>
      <c r="BM16" s="109">
        <v>3506</v>
      </c>
      <c r="BN16" s="109" t="s">
        <v>129</v>
      </c>
      <c r="BO16" s="109" t="s">
        <v>126</v>
      </c>
      <c r="BP16" s="110" t="s">
        <v>127</v>
      </c>
      <c r="BS16" s="22">
        <v>5</v>
      </c>
      <c r="BT16" s="63" t="str">
        <f>BS8&amp;"E79KITA040AA"</f>
        <v>VE79KITA040AA</v>
      </c>
      <c r="BU16" s="62" t="s">
        <v>141</v>
      </c>
    </row>
    <row r="17" spans="2:75" x14ac:dyDescent="0.25">
      <c r="B17" s="21" t="s">
        <v>1</v>
      </c>
      <c r="C17" s="21" t="str">
        <f>INDEX(AY147:AY152,MATCH(1,$AZ$4:$AZ$9,0))</f>
        <v>Bottom panel thickness (mm) • min 18 mm</v>
      </c>
      <c r="D17" s="52">
        <f>Draft!D48</f>
        <v>0</v>
      </c>
      <c r="K17" s="20"/>
      <c r="M17" s="29"/>
      <c r="N17" s="19"/>
      <c r="V17" s="29"/>
      <c r="W17" s="19"/>
      <c r="X17" s="20"/>
      <c r="AB17" s="29"/>
      <c r="AD17" s="19"/>
      <c r="AF17" s="5"/>
      <c r="AG17" s="17"/>
      <c r="AO17" s="22" t="s">
        <v>90</v>
      </c>
      <c r="AP17" s="21" t="s">
        <v>97</v>
      </c>
      <c r="AQ17" s="21" t="s">
        <v>10</v>
      </c>
      <c r="AT17" t="str">
        <f>IFERROR(INDEX(AO18:AO31,MATCH(2,AR18:AR31,0)),"")</f>
        <v/>
      </c>
      <c r="AU17" t="str">
        <f>IFERROR(INDEX(AL18:AL31,MATCH(2,AR18:AR31,0)),"")</f>
        <v/>
      </c>
      <c r="AV17">
        <f>IF(AT17=$D$32,1,0)</f>
        <v>0</v>
      </c>
      <c r="AW17">
        <f>IFERROR(INDEX(AU17:AU18,MATCH(1,AV17:AV18,0)),)</f>
        <v>0</v>
      </c>
      <c r="AY17" t="s">
        <v>13</v>
      </c>
      <c r="AZ17">
        <f>IF(AND(D31&gt;=350,D31&lt;=499,AZ13=0),1,0)</f>
        <v>0</v>
      </c>
      <c r="BC17" t="str">
        <f>INDEX(BD60:BD65,MATCH(1,$AZ$4:$AZ$9,0))</f>
        <v>Room divider</v>
      </c>
      <c r="BF17">
        <f>IF(BC17=Draft!$C$40,1,0)</f>
        <v>0</v>
      </c>
      <c r="BG17">
        <f>IF($BB$14=Draft!$C$39,1,0)</f>
        <v>0</v>
      </c>
      <c r="BH17">
        <f>IF(Draft!$D$58&lt;=500,0,1)</f>
        <v>0</v>
      </c>
      <c r="BI17">
        <f>SUM(BF17:BG17)</f>
        <v>0</v>
      </c>
      <c r="BL17" s="104">
        <f>IF(OR(AV27=Draft!$C$41,AV28=Draft!$C$41,Draft!$C$41=""),0,1)</f>
        <v>0</v>
      </c>
      <c r="BM17" s="22">
        <f>IF(OR(AV27=Draft!$C$41,AV29=Draft!$C$41),0,1)</f>
        <v>1</v>
      </c>
      <c r="BN17" s="22">
        <f>IF(AV32=Draft!$C$42,0,1)</f>
        <v>1</v>
      </c>
      <c r="BO17" s="22" t="str">
        <f>BL17&amp;BM17&amp;BN17</f>
        <v>011</v>
      </c>
      <c r="BP17" s="105">
        <f>BIN2DEC(BO17)</f>
        <v>3</v>
      </c>
      <c r="BS17" s="22">
        <v>2</v>
      </c>
      <c r="BT17" s="63" t="str">
        <f>BS8&amp;"E79KITB050AA"</f>
        <v>VE79KITB050AA</v>
      </c>
      <c r="BU17" s="62" t="s">
        <v>142</v>
      </c>
    </row>
    <row r="18" spans="2:75" x14ac:dyDescent="0.25">
      <c r="B18" s="21" t="s">
        <v>11</v>
      </c>
      <c r="C18" s="21" t="str">
        <f>INDEX(AY182:AY187,MATCH(1,$AZ$4:$AZ$9,0))</f>
        <v>Base height  (mm) - min 35 mm</v>
      </c>
      <c r="D18" s="52">
        <f>Draft!D49</f>
        <v>0</v>
      </c>
      <c r="K18" s="20"/>
      <c r="M18" s="29"/>
      <c r="N18" s="19"/>
      <c r="V18" s="29"/>
      <c r="W18" s="19"/>
      <c r="X18" s="20"/>
      <c r="AB18" s="29"/>
      <c r="AD18" s="19"/>
      <c r="AF18" s="5"/>
      <c r="AG18" s="17"/>
      <c r="AL18">
        <v>1</v>
      </c>
      <c r="AM18">
        <v>2</v>
      </c>
      <c r="AN18" s="21" t="s">
        <v>91</v>
      </c>
      <c r="AO18" s="22">
        <v>12</v>
      </c>
      <c r="AP18" s="22">
        <f>IF($G$31=1,1,0)</f>
        <v>1</v>
      </c>
      <c r="AQ18" s="22">
        <f>IF(AND($D$20&gt;=600,$D$20&lt;=800),1,0)</f>
        <v>0</v>
      </c>
      <c r="AR18">
        <f>SUM(AP18:AQ18)</f>
        <v>1</v>
      </c>
      <c r="AT18" t="str">
        <f>IFERROR(INDEX(AO43:AO49,MATCH(2,AR43:AR50,0)),"")</f>
        <v/>
      </c>
      <c r="AU18" t="str">
        <f>IFERROR(INDEX(AL43:AL49,MATCH(2,AR43:AR50,0)),"")</f>
        <v/>
      </c>
      <c r="AV18">
        <f>IF(AT18=$D$32,1,0)</f>
        <v>0</v>
      </c>
      <c r="AY18" t="s">
        <v>14</v>
      </c>
      <c r="AZ18">
        <f>IF(AND(D31&lt;=750,D31&gt;499,AZ13=0),1,0)</f>
        <v>0</v>
      </c>
      <c r="BL18" s="104">
        <f>IF(AND(BL17=0,BM18=0),19,16)</f>
        <v>16</v>
      </c>
      <c r="BM18" s="22">
        <f>IF(Draft!C41=SingolaSx!AV27,0,1)</f>
        <v>1</v>
      </c>
      <c r="BN18" s="21"/>
      <c r="BO18" s="21"/>
      <c r="BP18" s="106"/>
      <c r="BS18" s="22">
        <v>6</v>
      </c>
      <c r="BT18" s="63" t="str">
        <f>BS8&amp;"E79KITB060AA"</f>
        <v>VE79KITB060AA</v>
      </c>
      <c r="BU18" s="62" t="s">
        <v>143</v>
      </c>
    </row>
    <row r="19" spans="2:75" ht="15.75" thickBot="1" x14ac:dyDescent="0.3">
      <c r="B19" s="21" t="s">
        <v>111</v>
      </c>
      <c r="C19" s="21" t="str">
        <f>INDEX(AY217:AY222,MATCH(1,$AZ$4:$AZ$9,0))</f>
        <v>Lower Reveal • min 0 max 2</v>
      </c>
      <c r="D19" s="52"/>
      <c r="K19" s="20"/>
      <c r="M19" s="29"/>
      <c r="N19" s="19"/>
      <c r="V19" s="29"/>
      <c r="W19" s="19"/>
      <c r="X19" s="20"/>
      <c r="AB19" s="29"/>
      <c r="AD19" s="19"/>
      <c r="AF19" s="5"/>
      <c r="AG19" s="17"/>
      <c r="AL19">
        <v>2</v>
      </c>
      <c r="AM19">
        <v>3</v>
      </c>
      <c r="AN19" s="21" t="s">
        <v>92</v>
      </c>
      <c r="AO19" s="22">
        <v>16</v>
      </c>
      <c r="AP19" s="22">
        <f t="shared" ref="AP19:AP23" si="1">IF($G$31=1,1,0)</f>
        <v>1</v>
      </c>
      <c r="AQ19" s="22">
        <f>IF(AND($D$20&gt;=801,$D$20&lt;=1200),1,0)</f>
        <v>0</v>
      </c>
      <c r="AR19">
        <f t="shared" ref="AR19:AR24" si="2">SUM(AP19:AQ19)</f>
        <v>1</v>
      </c>
      <c r="AY19" t="s">
        <v>15</v>
      </c>
      <c r="AZ19">
        <f>IF(AND(AZ17=0,AZ18=0),1,0)</f>
        <v>1</v>
      </c>
      <c r="BB19">
        <f>IF(BC19=Draft!C39,1,0)</f>
        <v>0</v>
      </c>
      <c r="BC19" t="s">
        <v>120</v>
      </c>
      <c r="BD19">
        <f>IF(BC19=Draft!C39,0,35)</f>
        <v>35</v>
      </c>
      <c r="BE19">
        <f>IF(BC19=Draft!C39,Draft!D46-17,Draft!D46-35)</f>
        <v>-35</v>
      </c>
      <c r="BF19" t="str">
        <f>IF(BC20=Draft!C39,35,INDEX(BD112:BD117,MATCH(1,$AZ$4:$AZ$9,0))&amp;" "&amp;17)</f>
        <v>recommended 17</v>
      </c>
      <c r="BL19" s="107">
        <f>IF(BL17=0,25,24)</f>
        <v>25</v>
      </c>
      <c r="BM19" s="9"/>
      <c r="BN19" s="9"/>
      <c r="BO19" s="9"/>
      <c r="BP19" s="31"/>
      <c r="BS19" s="22">
        <v>3</v>
      </c>
      <c r="BT19" s="63" t="str">
        <f>BS8&amp;"E79KITB070AA"</f>
        <v>VE79KITB070AA</v>
      </c>
      <c r="BU19" s="62" t="s">
        <v>144</v>
      </c>
    </row>
    <row r="20" spans="2:75" x14ac:dyDescent="0.25">
      <c r="B20" s="21" t="s">
        <v>10</v>
      </c>
      <c r="C20" s="21" t="str">
        <f>INDEX(AY154:AY159,MATCH(1,$AZ$4:$AZ$9,0))</f>
        <v>Door height (mm) – min 600 mm max 2800 mm</v>
      </c>
      <c r="D20" s="52">
        <f>Draft!D44</f>
        <v>0</v>
      </c>
      <c r="E20" t="str">
        <f>"Max = "&amp;AY26&amp;" mm"</f>
        <v>Max = -35 mm</v>
      </c>
      <c r="K20" s="20"/>
      <c r="M20" s="29"/>
      <c r="N20" s="19"/>
      <c r="V20" s="29"/>
      <c r="W20" s="19"/>
      <c r="X20" s="20"/>
      <c r="AB20" s="29"/>
      <c r="AD20" s="19"/>
      <c r="AF20" s="5"/>
      <c r="AG20" s="17"/>
      <c r="AN20" s="21"/>
      <c r="AO20" s="22"/>
      <c r="AP20" s="22"/>
      <c r="AQ20" s="22"/>
      <c r="BC20" t="s">
        <v>121</v>
      </c>
      <c r="BD20">
        <f>IF(BC20=Draft!C39,35,0)</f>
        <v>0</v>
      </c>
      <c r="BS20" s="22">
        <v>7</v>
      </c>
      <c r="BT20" s="63" t="str">
        <f>BS8&amp;"E79KITB080AA"</f>
        <v>VE79KITB080AA</v>
      </c>
      <c r="BU20" s="62" t="s">
        <v>145</v>
      </c>
    </row>
    <row r="21" spans="2:75" x14ac:dyDescent="0.25">
      <c r="B21" s="21" t="s">
        <v>2</v>
      </c>
      <c r="C21" s="21" t="str">
        <f>INDEX(AY189:AY194,MATCH(1,$AZ$4:$AZ$9,0))</f>
        <v>Door distance from the floor - min recommended 17 mm</v>
      </c>
      <c r="D21" s="22">
        <f>IF(OR(ISBLANK(D14),ISBLANK(D20)),"",D14-D20)</f>
        <v>0</v>
      </c>
      <c r="E21" t="str">
        <f>IF(D21&lt;17,"DAT min = 17 mm","")</f>
        <v>DAT min = 17 mm</v>
      </c>
      <c r="K21" s="20"/>
      <c r="M21" s="29"/>
      <c r="N21" s="19"/>
      <c r="V21" s="29"/>
      <c r="W21" s="19"/>
      <c r="X21" s="20"/>
      <c r="AB21" s="29"/>
      <c r="AD21" s="19"/>
      <c r="AF21" s="5"/>
      <c r="AG21" s="17"/>
      <c r="AL21">
        <v>2</v>
      </c>
      <c r="AM21">
        <v>4</v>
      </c>
      <c r="AN21" s="21" t="s">
        <v>93</v>
      </c>
      <c r="AO21" s="22">
        <v>24</v>
      </c>
      <c r="AP21" s="22">
        <f t="shared" si="1"/>
        <v>1</v>
      </c>
      <c r="AQ21" s="22">
        <f>IF(AND($D$20&gt;=1201,$D$20&lt;=1600),1,0)</f>
        <v>0</v>
      </c>
      <c r="AR21">
        <f t="shared" si="2"/>
        <v>1</v>
      </c>
      <c r="BS21" s="22">
        <v>8</v>
      </c>
      <c r="BT21" s="67" t="str">
        <f>BS8&amp;"E79KITA010AA"</f>
        <v>VE79KITA010AA</v>
      </c>
      <c r="BU21" s="62" t="s">
        <v>138</v>
      </c>
      <c r="BV21" s="67" t="str">
        <f>BS8&amp;"E79KITA020AA"</f>
        <v>VE79KITA020AA</v>
      </c>
      <c r="BW21" s="62" t="s">
        <v>139</v>
      </c>
    </row>
    <row r="22" spans="2:75" x14ac:dyDescent="0.25">
      <c r="B22" s="23"/>
      <c r="C22" s="25"/>
      <c r="D22" s="47"/>
      <c r="K22" s="20"/>
      <c r="M22" s="29"/>
      <c r="N22" s="19"/>
      <c r="V22" s="29"/>
      <c r="W22" s="19"/>
      <c r="X22" s="20"/>
      <c r="AB22" s="29"/>
      <c r="AD22" s="19"/>
      <c r="AF22" s="5"/>
      <c r="AG22" s="17"/>
      <c r="AL22">
        <v>2</v>
      </c>
      <c r="AM22">
        <v>4</v>
      </c>
      <c r="AN22" s="21" t="s">
        <v>94</v>
      </c>
      <c r="AO22" s="22">
        <v>30</v>
      </c>
      <c r="AP22" s="22">
        <f t="shared" si="1"/>
        <v>1</v>
      </c>
      <c r="AQ22" s="22">
        <f>IF(AND($D$20&gt;=1601,$D$20&lt;=2000),1,0)</f>
        <v>0</v>
      </c>
      <c r="AR22">
        <f t="shared" si="2"/>
        <v>1</v>
      </c>
      <c r="BS22" s="22">
        <v>9</v>
      </c>
      <c r="BT22" s="67" t="str">
        <f>BS8&amp;"E79KITA030AA"</f>
        <v>VE79KITA030AA</v>
      </c>
      <c r="BU22" s="62" t="s">
        <v>140</v>
      </c>
      <c r="BV22" s="67" t="str">
        <f>BS8&amp;"E79KITA040AA"</f>
        <v>VE79KITA040AA</v>
      </c>
      <c r="BW22" s="62" t="s">
        <v>141</v>
      </c>
    </row>
    <row r="23" spans="2:75" x14ac:dyDescent="0.25">
      <c r="B23" s="21" t="s">
        <v>12</v>
      </c>
      <c r="C23" s="21" t="str">
        <f>INDEX(AY98:AY103,MATCH(1,$AZ$4:$AZ$9,0))</f>
        <v>Central panel thickness (mm) – min 16 (mm)</v>
      </c>
      <c r="D23" s="52">
        <f>Draft!D53</f>
        <v>0</v>
      </c>
      <c r="K23" s="20"/>
      <c r="M23" s="29"/>
      <c r="N23" s="19"/>
      <c r="V23" s="29"/>
      <c r="W23" s="19"/>
      <c r="X23" s="20"/>
      <c r="AB23" s="29"/>
      <c r="AD23" s="19"/>
      <c r="AF23" s="5"/>
      <c r="AG23" s="17"/>
      <c r="AL23">
        <v>2</v>
      </c>
      <c r="AM23">
        <v>4</v>
      </c>
      <c r="AN23" s="21" t="s">
        <v>95</v>
      </c>
      <c r="AO23" s="22">
        <v>35</v>
      </c>
      <c r="AP23" s="22">
        <f t="shared" si="1"/>
        <v>1</v>
      </c>
      <c r="AQ23" s="22">
        <f>IF(AND($D$20&gt;=2001,$D$20&lt;=2400),1,0)</f>
        <v>0</v>
      </c>
      <c r="AR23">
        <f t="shared" si="2"/>
        <v>1</v>
      </c>
      <c r="AY23">
        <v>10</v>
      </c>
      <c r="BK23" s="21"/>
      <c r="BL23" s="22" t="s">
        <v>130</v>
      </c>
      <c r="BM23" s="22" t="s">
        <v>10</v>
      </c>
      <c r="BN23" s="22" t="s">
        <v>131</v>
      </c>
      <c r="BO23" s="22" t="s">
        <v>89</v>
      </c>
      <c r="BP23" s="22" t="s">
        <v>132</v>
      </c>
      <c r="BQ23" s="21"/>
      <c r="BS23" s="22">
        <v>10</v>
      </c>
      <c r="BT23" s="67" t="str">
        <f>BS8&amp;"E79KITB050AA"</f>
        <v>VE79KITB050AA</v>
      </c>
      <c r="BU23" s="62" t="s">
        <v>142</v>
      </c>
      <c r="BV23" s="67" t="str">
        <f>BS8&amp;"E79KITB060AA"</f>
        <v>VE79KITB060AA</v>
      </c>
      <c r="BW23" s="62" t="s">
        <v>143</v>
      </c>
    </row>
    <row r="24" spans="2:75" x14ac:dyDescent="0.25">
      <c r="B24" s="21" t="s">
        <v>4</v>
      </c>
      <c r="C24" s="21" t="e">
        <f>INDEX(#REF!,MATCH(1,$AZ$4:$AZ$9,0))</f>
        <v>#REF!</v>
      </c>
      <c r="D24" s="52">
        <f>Draft!D55</f>
        <v>0</v>
      </c>
      <c r="K24" s="22" t="str">
        <f>B14&amp;" = "&amp;D14</f>
        <v>LHT = 0</v>
      </c>
      <c r="M24" s="29"/>
      <c r="N24" s="19"/>
      <c r="V24" s="29"/>
      <c r="W24" s="19"/>
      <c r="Y24" s="126" t="str">
        <f>B16&amp;" = "&amp;D16</f>
        <v>LHI = 0</v>
      </c>
      <c r="Z24" s="128"/>
      <c r="AB24" s="29"/>
      <c r="AD24" s="19"/>
      <c r="AF24" s="5"/>
      <c r="AG24" s="29"/>
      <c r="AH24" s="129" t="str">
        <f>B20&amp;" = "&amp;D20</f>
        <v>TH = 0</v>
      </c>
      <c r="AI24" s="129"/>
      <c r="AL24">
        <v>2</v>
      </c>
      <c r="AM24">
        <v>4</v>
      </c>
      <c r="AN24" s="21" t="s">
        <v>96</v>
      </c>
      <c r="AO24" s="22">
        <v>40</v>
      </c>
      <c r="AP24" s="22">
        <f>IF($G$31=1,1,0)</f>
        <v>1</v>
      </c>
      <c r="AQ24" s="22">
        <f>IF(AND($D$20&gt;=2401,$D$20&lt;=2800),1,0)</f>
        <v>0</v>
      </c>
      <c r="AR24">
        <f t="shared" si="2"/>
        <v>1</v>
      </c>
      <c r="AY24">
        <v>12.5</v>
      </c>
      <c r="BK24" s="21" t="s">
        <v>91</v>
      </c>
      <c r="BL24" s="22">
        <f>IF(Draft!$D$51&lt;=500,1,0)</f>
        <v>1</v>
      </c>
      <c r="BM24" s="22">
        <f>IF(AND(Draft!$D$44&gt;=600,Draft!$D$44&lt;=800),1,0)</f>
        <v>0</v>
      </c>
      <c r="BN24" s="22">
        <f>SUM(BL24,BM24)</f>
        <v>1</v>
      </c>
      <c r="BO24" s="22">
        <v>10</v>
      </c>
      <c r="BP24" s="22">
        <f>IF($BL$14=0,1,2)</f>
        <v>2</v>
      </c>
      <c r="BQ24" s="21"/>
      <c r="BS24" s="22">
        <v>11</v>
      </c>
      <c r="BT24" s="67" t="str">
        <f>BS8&amp;"E79KITB070AA"</f>
        <v>VE79KITB070AA</v>
      </c>
      <c r="BU24" s="62" t="s">
        <v>146</v>
      </c>
      <c r="BV24" s="67" t="str">
        <f>BS8&amp;"E79KITB080AA"</f>
        <v>VE79KITB080AA</v>
      </c>
      <c r="BW24" s="62" t="s">
        <v>147</v>
      </c>
    </row>
    <row r="25" spans="2:75" x14ac:dyDescent="0.25">
      <c r="B25" s="21" t="s">
        <v>7</v>
      </c>
      <c r="C25" s="21" t="str">
        <f>INDEX(AY203:AY208,MATCH(1,$AZ$4:$AZ$9,0))</f>
        <v>Reveal between doors (mm)</v>
      </c>
      <c r="D25" s="52">
        <f>Draft!D52</f>
        <v>0</v>
      </c>
      <c r="K25" s="20"/>
      <c r="M25" s="29"/>
      <c r="N25" s="19"/>
      <c r="V25" s="29"/>
      <c r="W25" s="19"/>
      <c r="X25" s="20"/>
      <c r="AB25" s="29"/>
      <c r="AD25" s="19"/>
      <c r="AF25" s="5"/>
      <c r="AG25" s="17"/>
      <c r="BK25" s="21" t="s">
        <v>92</v>
      </c>
      <c r="BL25" s="22">
        <f>IF(Draft!$D$51&lt;=500,1,0)</f>
        <v>1</v>
      </c>
      <c r="BM25" s="22">
        <f>IF(AND(Draft!$D$44&gt;=801,Draft!$D$44&lt;=1200),1,0)</f>
        <v>0</v>
      </c>
      <c r="BN25" s="22">
        <f t="shared" ref="BN25:BN29" si="3">SUM(BL25,BM25)</f>
        <v>1</v>
      </c>
      <c r="BO25" s="22">
        <v>16</v>
      </c>
      <c r="BP25" s="22">
        <f>IF($BL$14=0,2,3)</f>
        <v>3</v>
      </c>
      <c r="BQ25" s="22">
        <v>2</v>
      </c>
    </row>
    <row r="26" spans="2:75" x14ac:dyDescent="0.25">
      <c r="B26" s="21" t="s">
        <v>9</v>
      </c>
      <c r="C26" s="21" t="str">
        <f>INDEX(AY112:AY117,MATCH(1,$AZ$4:$AZ$9,0))</f>
        <v>Internal door overlay (hinged side) on SPI (mm)</v>
      </c>
      <c r="D26" s="52">
        <f>Draft!D54</f>
        <v>0</v>
      </c>
      <c r="K26" s="20"/>
      <c r="M26" s="29"/>
      <c r="N26" s="19"/>
      <c r="V26" s="29"/>
      <c r="W26" s="19"/>
      <c r="X26" s="20"/>
      <c r="AB26" s="29"/>
      <c r="AD26" s="19"/>
      <c r="AF26" s="5"/>
      <c r="AG26" s="17"/>
      <c r="AL26">
        <v>1</v>
      </c>
      <c r="AM26">
        <v>2</v>
      </c>
      <c r="AN26" s="21" t="s">
        <v>98</v>
      </c>
      <c r="AO26" s="22">
        <v>12</v>
      </c>
      <c r="AP26" s="22">
        <f>IF($G$31=2,1,0)</f>
        <v>0</v>
      </c>
      <c r="AQ26" s="22">
        <f>IF(AND($D$20&gt;=700,$D$20&lt;=800),1,0)</f>
        <v>0</v>
      </c>
      <c r="AR26">
        <f t="shared" ref="AR26:AR31" si="4">SUM(AP26:AQ26)</f>
        <v>0</v>
      </c>
      <c r="AY26">
        <f>IF(D14&lt;=2835,D14-D19-35,2800)</f>
        <v>-35</v>
      </c>
      <c r="BK26" s="21" t="s">
        <v>93</v>
      </c>
      <c r="BL26" s="22">
        <f>IF(Draft!$D$51&lt;=500,1,0)</f>
        <v>1</v>
      </c>
      <c r="BM26" s="22">
        <f>IF(AND(Draft!$D$44&gt;=1201,Draft!$D$44&lt;=1600),1,0)</f>
        <v>0</v>
      </c>
      <c r="BN26" s="22">
        <f t="shared" si="3"/>
        <v>1</v>
      </c>
      <c r="BO26" s="22">
        <v>24</v>
      </c>
      <c r="BP26" s="22">
        <f>IF($BL$14=0,2,4)</f>
        <v>4</v>
      </c>
      <c r="BQ26" s="22">
        <f>4/2</f>
        <v>2</v>
      </c>
    </row>
    <row r="27" spans="2:75" x14ac:dyDescent="0.25">
      <c r="B27" s="21" t="s">
        <v>8</v>
      </c>
      <c r="C27" s="21" t="str">
        <f>INDEX(AY161:AY166,MATCH(1,$AZ$4:$AZ$9,0))</f>
        <v>Overlap on exterior side SPE (mm) • max 27,5 mm</v>
      </c>
      <c r="D27" s="52">
        <f>Draft!D56</f>
        <v>0</v>
      </c>
      <c r="K27" s="20"/>
      <c r="M27" s="29"/>
      <c r="N27" s="19"/>
      <c r="V27" s="29"/>
      <c r="W27" s="19"/>
      <c r="X27" s="20"/>
      <c r="AB27" s="29"/>
      <c r="AD27" s="19"/>
      <c r="AF27" s="5"/>
      <c r="AG27" s="17"/>
      <c r="AL27">
        <v>2</v>
      </c>
      <c r="AM27">
        <v>3</v>
      </c>
      <c r="AN27" s="21" t="s">
        <v>92</v>
      </c>
      <c r="AO27" s="22">
        <v>16</v>
      </c>
      <c r="AP27" s="22">
        <f t="shared" ref="AP27:AP49" si="5">IF($G$31=2,1,0)</f>
        <v>0</v>
      </c>
      <c r="AQ27" s="22">
        <f>IF(AND($D$20&gt;=801,$D$20&lt;=1200),1,0)</f>
        <v>0</v>
      </c>
      <c r="AR27">
        <f t="shared" si="4"/>
        <v>0</v>
      </c>
      <c r="AV27" s="21" t="s">
        <v>233</v>
      </c>
      <c r="AW27" s="21">
        <f>IF(AV27=Draft!$C$41,1,0)</f>
        <v>0</v>
      </c>
      <c r="AY27" s="21" t="s">
        <v>107</v>
      </c>
      <c r="AZ27" s="21">
        <v>1</v>
      </c>
      <c r="BA27" s="21">
        <v>1</v>
      </c>
      <c r="BB27" s="21">
        <f>IF(AND(AW27=1,AW32=1),1,0)</f>
        <v>0</v>
      </c>
      <c r="BC27" s="21">
        <v>12.5</v>
      </c>
      <c r="BD27" s="21">
        <v>13.5</v>
      </c>
      <c r="BE27" s="21">
        <v>14.5</v>
      </c>
      <c r="BF27" s="21">
        <v>15.5</v>
      </c>
      <c r="BG27" s="21">
        <v>16</v>
      </c>
      <c r="BK27" s="21" t="s">
        <v>94</v>
      </c>
      <c r="BL27" s="22">
        <f>IF(Draft!$D$51&lt;=500,1,0)</f>
        <v>1</v>
      </c>
      <c r="BM27" s="22">
        <f>IF(AND(Draft!$D$44&gt;=1601,Draft!$D$44&lt;=2000),1,0)</f>
        <v>0</v>
      </c>
      <c r="BN27" s="22">
        <f t="shared" si="3"/>
        <v>1</v>
      </c>
      <c r="BO27" s="22">
        <v>40</v>
      </c>
      <c r="BP27" s="22">
        <f>IF($BL$14=0,3,5)</f>
        <v>5</v>
      </c>
      <c r="BQ27" s="22">
        <v>3</v>
      </c>
    </row>
    <row r="28" spans="2:75" x14ac:dyDescent="0.25">
      <c r="B28" s="21" t="s">
        <v>83</v>
      </c>
      <c r="C28" s="21" t="str">
        <f>INDEX(AY84:AY89,MATCH(1,$AZ$4:$AZ$9,0))</f>
        <v>Internal cabinet width (mm)</v>
      </c>
      <c r="D28" s="52">
        <f>Draft!D58</f>
        <v>0</v>
      </c>
      <c r="E28" t="str">
        <f>"LI Max = "&amp;AP16&amp;" mm"</f>
        <v>LI Max = 1500 mm</v>
      </c>
      <c r="K28" s="20"/>
      <c r="M28" s="29"/>
      <c r="N28" s="19"/>
      <c r="V28" s="29"/>
      <c r="W28" s="19"/>
      <c r="X28" s="20"/>
      <c r="AB28" s="29"/>
      <c r="AD28" s="19"/>
      <c r="AF28" s="5"/>
      <c r="AG28" s="17"/>
      <c r="AL28">
        <v>2</v>
      </c>
      <c r="AM28">
        <v>4</v>
      </c>
      <c r="AN28" s="21" t="s">
        <v>93</v>
      </c>
      <c r="AO28" s="22">
        <v>24</v>
      </c>
      <c r="AP28" s="22">
        <f t="shared" si="5"/>
        <v>0</v>
      </c>
      <c r="AQ28" s="22">
        <f>IF(AND($D$20&gt;=1201,$D$20&lt;=1600),1,0)</f>
        <v>0</v>
      </c>
      <c r="AR28">
        <f t="shared" si="4"/>
        <v>0</v>
      </c>
      <c r="AV28" s="21" t="s">
        <v>230</v>
      </c>
      <c r="AW28" s="21">
        <f>IF(AV28=Draft!$C$41,1,0)</f>
        <v>0</v>
      </c>
      <c r="AY28" s="21" t="s">
        <v>108</v>
      </c>
      <c r="AZ28" s="21">
        <v>2</v>
      </c>
      <c r="BA28" s="21">
        <v>2</v>
      </c>
      <c r="BB28" s="21">
        <f>IF(AND(AW27=1,AW33=1),1,0)</f>
        <v>0</v>
      </c>
      <c r="BC28" s="21">
        <v>12.5</v>
      </c>
      <c r="BD28" s="21">
        <v>13.5</v>
      </c>
      <c r="BE28" s="21">
        <v>14.5</v>
      </c>
      <c r="BF28" s="21">
        <v>15.5</v>
      </c>
      <c r="BG28" s="21">
        <v>16</v>
      </c>
      <c r="BK28" s="21" t="s">
        <v>95</v>
      </c>
      <c r="BL28" s="22">
        <f>IF(Draft!$D$51&lt;=500,1,0)</f>
        <v>1</v>
      </c>
      <c r="BM28" s="22">
        <f>IF(AND(Draft!$D$44&gt;=2001,Draft!$D$44&lt;=2400),1,0)</f>
        <v>0</v>
      </c>
      <c r="BN28" s="22">
        <f t="shared" si="3"/>
        <v>1</v>
      </c>
      <c r="BO28" s="22">
        <v>45</v>
      </c>
      <c r="BP28" s="22">
        <f>IF($BL$14=0,3,5)</f>
        <v>5</v>
      </c>
      <c r="BQ28" s="22">
        <v>3</v>
      </c>
      <c r="BS28" s="22">
        <v>0</v>
      </c>
      <c r="BT28" s="22" t="str">
        <f>BS8&amp;"E79KITX600NB"</f>
        <v>VE79KITX600NB</v>
      </c>
      <c r="BU28" s="21" t="s">
        <v>148</v>
      </c>
    </row>
    <row r="29" spans="2:75" x14ac:dyDescent="0.25">
      <c r="B29" s="60"/>
      <c r="D29" s="54"/>
      <c r="K29" s="20"/>
      <c r="M29" s="29"/>
      <c r="N29" s="19"/>
      <c r="V29" s="29"/>
      <c r="W29" s="19"/>
      <c r="X29" s="20"/>
      <c r="AB29" s="29"/>
      <c r="AD29" s="19"/>
      <c r="AF29" s="5"/>
      <c r="AG29" s="17"/>
      <c r="AL29">
        <v>3</v>
      </c>
      <c r="AM29">
        <v>5</v>
      </c>
      <c r="AN29" s="21" t="s">
        <v>94</v>
      </c>
      <c r="AO29" s="22">
        <v>30</v>
      </c>
      <c r="AP29" s="22">
        <f t="shared" si="5"/>
        <v>0</v>
      </c>
      <c r="AQ29" s="22">
        <f>IF(AND($D$20&gt;=1601,$D$20&lt;=2000),1,0)</f>
        <v>0</v>
      </c>
      <c r="AR29">
        <f t="shared" si="4"/>
        <v>0</v>
      </c>
      <c r="AV29" s="21" t="s">
        <v>231</v>
      </c>
      <c r="AW29" s="21">
        <f>IF(AV29=Draft!$C$41,1,0)</f>
        <v>0</v>
      </c>
      <c r="AY29" s="21" t="s">
        <v>109</v>
      </c>
      <c r="AZ29" s="21">
        <v>3</v>
      </c>
      <c r="BA29" s="21">
        <v>3</v>
      </c>
      <c r="BB29" s="21">
        <f>IF(AND(AW28=1,AW32=1),1,0)</f>
        <v>0</v>
      </c>
      <c r="BC29" s="21">
        <v>10</v>
      </c>
      <c r="BD29" s="21"/>
      <c r="BE29" s="21"/>
      <c r="BF29" s="21"/>
      <c r="BG29" s="21"/>
      <c r="BK29" s="21" t="s">
        <v>96</v>
      </c>
      <c r="BL29" s="22">
        <f>IF(Draft!$D$51&lt;=500,1,0)</f>
        <v>1</v>
      </c>
      <c r="BM29" s="22">
        <f>IF(AND(Draft!$D$44&gt;=2401,Draft!$D$44&lt;=2800),1,0)</f>
        <v>0</v>
      </c>
      <c r="BN29" s="22">
        <f t="shared" si="3"/>
        <v>1</v>
      </c>
      <c r="BO29" s="22">
        <v>50</v>
      </c>
      <c r="BP29" s="22">
        <f>IF($BL$14=0,3,5)</f>
        <v>5</v>
      </c>
      <c r="BQ29" s="22">
        <v>3</v>
      </c>
      <c r="BS29" s="22">
        <v>1</v>
      </c>
      <c r="BT29" s="22" t="str">
        <f>BS8&amp;"E79KITX600TB"</f>
        <v>VE79KITX600TB</v>
      </c>
      <c r="BU29" s="21" t="s">
        <v>153</v>
      </c>
    </row>
    <row r="30" spans="2:75" x14ac:dyDescent="0.25">
      <c r="B30" s="21" t="s">
        <v>3</v>
      </c>
      <c r="C30" s="21" t="str">
        <f>INDEX(AY196:AY201,MATCH(1,$AZ$4:$AZ$9,0))</f>
        <v>Total cabinet width (mm)</v>
      </c>
      <c r="D30" s="22">
        <f>D24+D23+D28</f>
        <v>0</v>
      </c>
      <c r="K30" s="20"/>
      <c r="M30" s="29"/>
      <c r="N30" s="19"/>
      <c r="V30" s="29"/>
      <c r="W30" s="19"/>
      <c r="X30" s="20"/>
      <c r="AB30" s="29"/>
      <c r="AD30" s="19"/>
      <c r="AF30" s="5"/>
      <c r="AG30" s="17"/>
      <c r="AL30">
        <v>3</v>
      </c>
      <c r="AM30">
        <v>5</v>
      </c>
      <c r="AN30" s="21" t="s">
        <v>95</v>
      </c>
      <c r="AO30" s="22">
        <v>35</v>
      </c>
      <c r="AP30" s="22">
        <f t="shared" si="5"/>
        <v>0</v>
      </c>
      <c r="AQ30" s="22">
        <f>IF(AND($D$20&gt;=2001,$D$20&lt;=2400),1,0)</f>
        <v>0</v>
      </c>
      <c r="AR30">
        <f t="shared" si="4"/>
        <v>0</v>
      </c>
      <c r="AV30" s="21" t="s">
        <v>232</v>
      </c>
      <c r="AW30" s="21">
        <f>IF(AV30=Draft!$C$41,1,0)</f>
        <v>0</v>
      </c>
      <c r="AY30" s="21" t="s">
        <v>110</v>
      </c>
      <c r="AZ30" s="21">
        <v>4</v>
      </c>
      <c r="BA30" s="21">
        <v>4</v>
      </c>
      <c r="BB30" s="21">
        <f>IF(AND(AW28=1,AW33=1),1,0)</f>
        <v>0</v>
      </c>
      <c r="BC30" s="21">
        <v>10</v>
      </c>
      <c r="BD30" s="21"/>
      <c r="BE30" s="21"/>
      <c r="BF30" s="21"/>
      <c r="BG30" s="21"/>
      <c r="BK30" s="21" t="s">
        <v>98</v>
      </c>
      <c r="BL30" s="22">
        <f>IF(Draft!$D$51&lt;=500,0,1)</f>
        <v>0</v>
      </c>
      <c r="BM30" s="22">
        <f>IF(AND(Draft!$D$44&gt;=600,Draft!$D$44&lt;=800),1,0)</f>
        <v>0</v>
      </c>
      <c r="BN30" s="22">
        <f t="shared" ref="BN30:BN35" si="6">SUM(BL30,BM30)</f>
        <v>0</v>
      </c>
      <c r="BO30" s="22">
        <v>10</v>
      </c>
      <c r="BP30" s="22">
        <f>IF($BL$14=0,1,2)</f>
        <v>2</v>
      </c>
      <c r="BQ30" s="22">
        <v>1</v>
      </c>
      <c r="BS30" s="22">
        <v>2</v>
      </c>
      <c r="BT30" s="22" t="str">
        <f>BS8&amp;"E79KITX610NB"</f>
        <v>VE79KITX610NB</v>
      </c>
      <c r="BU30" s="21" t="s">
        <v>149</v>
      </c>
    </row>
    <row r="31" spans="2:75" x14ac:dyDescent="0.25">
      <c r="B31" s="21" t="s">
        <v>85</v>
      </c>
      <c r="C31" s="21" t="str">
        <f>INDEX(AY119:AY124,MATCH(1,$AZ$4:$AZ$9,0))</f>
        <v>Door width (mm) – min 350 mm max 750 mm</v>
      </c>
      <c r="D31" s="22">
        <f>(D26+D28+D27-D25)/2</f>
        <v>0</v>
      </c>
      <c r="G31">
        <f>IF(D31&lt;=500,1,2)</f>
        <v>1</v>
      </c>
      <c r="H31">
        <f>D31*2</f>
        <v>0</v>
      </c>
      <c r="K31" s="20"/>
      <c r="M31" s="29"/>
      <c r="N31" s="19"/>
      <c r="V31" s="29"/>
      <c r="W31" s="19"/>
      <c r="X31" s="20"/>
      <c r="AB31" s="29"/>
      <c r="AD31" s="19"/>
      <c r="AF31" s="5"/>
      <c r="AG31" s="17"/>
      <c r="AL31">
        <v>3</v>
      </c>
      <c r="AM31">
        <v>5</v>
      </c>
      <c r="AN31" s="21" t="s">
        <v>96</v>
      </c>
      <c r="AO31" s="22">
        <v>40</v>
      </c>
      <c r="AP31" s="22">
        <f t="shared" si="5"/>
        <v>0</v>
      </c>
      <c r="AQ31" s="22">
        <f>IF(AND($D$20&gt;=2401,$D$20&lt;=2800),1,0)</f>
        <v>0</v>
      </c>
      <c r="AR31">
        <f t="shared" si="4"/>
        <v>0</v>
      </c>
      <c r="AV31" s="21"/>
      <c r="AW31" s="21"/>
      <c r="AY31" s="21" t="s">
        <v>99</v>
      </c>
      <c r="AZ31" s="21">
        <v>5</v>
      </c>
      <c r="BA31" s="21">
        <v>5</v>
      </c>
      <c r="BB31" s="21">
        <f>IF(AND(AW29=1,AW32=1),1,0)</f>
        <v>0</v>
      </c>
      <c r="BC31" s="21">
        <v>18</v>
      </c>
      <c r="BD31" s="21"/>
      <c r="BE31" s="21"/>
      <c r="BF31" s="21"/>
      <c r="BG31" s="21"/>
      <c r="BK31" s="21" t="s">
        <v>92</v>
      </c>
      <c r="BL31" s="22">
        <f>IF(Draft!$D$51&lt;=500,0,1)</f>
        <v>0</v>
      </c>
      <c r="BM31" s="22">
        <f>IF(AND(Draft!$D$44&gt;=801,Draft!$D$44&lt;=1200),1,0)</f>
        <v>0</v>
      </c>
      <c r="BN31" s="22">
        <f t="shared" si="6"/>
        <v>0</v>
      </c>
      <c r="BO31" s="22">
        <v>16</v>
      </c>
      <c r="BP31" s="22">
        <f>IF($BL$14=0,2,3)</f>
        <v>3</v>
      </c>
      <c r="BQ31" s="22">
        <v>2</v>
      </c>
      <c r="BS31" s="22">
        <v>3</v>
      </c>
      <c r="BT31" s="22" t="str">
        <f>BS8&amp;"E79KITX610TB"</f>
        <v>VE79KITX610TB</v>
      </c>
      <c r="BU31" s="21" t="s">
        <v>152</v>
      </c>
    </row>
    <row r="32" spans="2:75" x14ac:dyDescent="0.25">
      <c r="B32" s="21" t="s">
        <v>89</v>
      </c>
      <c r="C32" s="21" t="str">
        <f>INDEX(AY210:AY215,MATCH(1,$AZ$4:$AZ$9,0))</f>
        <v>Max weight for two doors (kg)</v>
      </c>
      <c r="D32" s="52">
        <f>[1]DoppiaN!E30</f>
        <v>40</v>
      </c>
      <c r="E32" t="str">
        <f>IF(ISBLANK(D39),"!","")</f>
        <v/>
      </c>
      <c r="K32" s="20"/>
      <c r="M32" s="29"/>
      <c r="N32" s="19"/>
      <c r="V32" s="29"/>
      <c r="W32" s="19"/>
      <c r="X32" s="20"/>
      <c r="AB32" s="29"/>
      <c r="AD32" s="19"/>
      <c r="AF32" s="5"/>
      <c r="AG32" s="17"/>
      <c r="AV32" s="21" t="s">
        <v>117</v>
      </c>
      <c r="AW32" s="21">
        <f>IF(AV32=Draft!$C$42,1,0)</f>
        <v>0</v>
      </c>
      <c r="AY32" s="21" t="s">
        <v>100</v>
      </c>
      <c r="AZ32" s="21">
        <v>6</v>
      </c>
      <c r="BA32" s="21">
        <v>6</v>
      </c>
      <c r="BB32" s="21">
        <f>IF(AND(AW29=1,AW33=1),1,0)</f>
        <v>0</v>
      </c>
      <c r="BC32" s="21">
        <v>18</v>
      </c>
      <c r="BD32" s="21"/>
      <c r="BE32" s="21"/>
      <c r="BF32" s="21"/>
      <c r="BG32" s="21"/>
      <c r="BK32" s="21" t="s">
        <v>93</v>
      </c>
      <c r="BL32" s="22">
        <f>IF(Draft!$D$51&lt;=500,0,1)</f>
        <v>0</v>
      </c>
      <c r="BM32" s="22">
        <f>IF(AND(Draft!$D$44&gt;=1201,Draft!$D$44&lt;=1600),1,0)</f>
        <v>0</v>
      </c>
      <c r="BN32" s="22">
        <f t="shared" si="6"/>
        <v>0</v>
      </c>
      <c r="BO32" s="22">
        <v>24</v>
      </c>
      <c r="BP32" s="22">
        <f>IF($BL$14=0,2,4)</f>
        <v>4</v>
      </c>
      <c r="BQ32" s="22">
        <f>4/2</f>
        <v>2</v>
      </c>
      <c r="BS32" s="22">
        <v>4</v>
      </c>
      <c r="BT32" s="22" t="str">
        <f>BS8&amp;"E79KITX620NB"</f>
        <v>VE79KITX620NB</v>
      </c>
      <c r="BU32" s="21" t="s">
        <v>150</v>
      </c>
    </row>
    <row r="33" spans="2:73" x14ac:dyDescent="0.25">
      <c r="B33" s="21" t="s">
        <v>5</v>
      </c>
      <c r="C33" s="21" t="e">
        <f>INDEX(#REF!,MATCH(1,$AZ$4:$AZ$9,0))</f>
        <v>#REF!</v>
      </c>
      <c r="D33" s="52">
        <f>[1]DoppiaN!E31</f>
        <v>0</v>
      </c>
      <c r="K33" s="20"/>
      <c r="M33" s="29"/>
      <c r="N33" s="19"/>
      <c r="V33" s="29"/>
      <c r="W33" s="19"/>
      <c r="X33" s="20"/>
      <c r="AB33" s="29"/>
      <c r="AD33" s="19"/>
      <c r="AF33" s="5"/>
      <c r="AG33" s="17"/>
      <c r="AV33" s="21" t="s">
        <v>116</v>
      </c>
      <c r="AW33" s="21">
        <f>IF(AV33=Draft!$C$42,1,0)</f>
        <v>0</v>
      </c>
      <c r="AY33" s="21" t="s">
        <v>101</v>
      </c>
      <c r="AZ33" s="21">
        <v>5</v>
      </c>
      <c r="BA33" s="21">
        <v>7</v>
      </c>
      <c r="BB33" s="21">
        <f>IF(AND(AW30=1,AW32=1),1,0)</f>
        <v>0</v>
      </c>
      <c r="BC33" s="21">
        <v>12</v>
      </c>
      <c r="BD33" s="21"/>
      <c r="BE33" s="21"/>
      <c r="BF33" s="21"/>
      <c r="BG33" s="21"/>
      <c r="BK33" s="21" t="s">
        <v>94</v>
      </c>
      <c r="BL33" s="22">
        <f>IF(Draft!$D$51&lt;=500,0,1)</f>
        <v>0</v>
      </c>
      <c r="BM33" s="22">
        <f>IF(AND(Draft!$D$44&gt;=1601,Draft!$D$44&lt;=2000),1,0)</f>
        <v>0</v>
      </c>
      <c r="BN33" s="22">
        <f t="shared" si="6"/>
        <v>0</v>
      </c>
      <c r="BO33" s="22">
        <v>40</v>
      </c>
      <c r="BP33" s="22">
        <f>IF($BL$14=0,3,6)</f>
        <v>6</v>
      </c>
      <c r="BQ33" s="22">
        <f>6/2</f>
        <v>3</v>
      </c>
      <c r="BS33" s="22">
        <v>5</v>
      </c>
      <c r="BT33" s="22" t="str">
        <f>BS8&amp;"E79KITX620TB"</f>
        <v>VE79KITX620TB</v>
      </c>
      <c r="BU33" s="21" t="s">
        <v>151</v>
      </c>
    </row>
    <row r="34" spans="2:73" ht="15.75" thickBot="1" x14ac:dyDescent="0.3">
      <c r="B34" s="21" t="s">
        <v>6</v>
      </c>
      <c r="C34" s="21" t="str">
        <f>INDEX(AY105:AY110,MATCH(1,$AZ$4:$AZ$9,0))</f>
        <v>Door thickness (mm) – min 18 mm max 25 mm</v>
      </c>
      <c r="D34" s="52">
        <f>[1]DoppiaN!E32</f>
        <v>19</v>
      </c>
      <c r="K34" s="20"/>
      <c r="M34" s="29"/>
      <c r="N34" s="19"/>
      <c r="V34" s="29"/>
      <c r="W34" s="19"/>
      <c r="X34" s="38"/>
      <c r="AB34" s="29"/>
      <c r="AD34" s="19"/>
      <c r="AF34" s="5"/>
      <c r="AG34" s="17"/>
      <c r="AI34" s="130" t="str">
        <f>B19&amp;" = "&amp;D19</f>
        <v xml:space="preserve">RAB = </v>
      </c>
      <c r="AY34" s="21" t="s">
        <v>102</v>
      </c>
      <c r="AZ34" s="21">
        <v>6</v>
      </c>
      <c r="BA34" s="21">
        <v>8</v>
      </c>
      <c r="BB34" s="21">
        <f>IF(AND(AW30=1,AW33=1),1,0)</f>
        <v>0</v>
      </c>
      <c r="BC34" s="21">
        <v>12</v>
      </c>
      <c r="BD34" s="21"/>
      <c r="BE34" s="21"/>
      <c r="BF34" s="21"/>
      <c r="BG34" s="21"/>
      <c r="BK34" s="21" t="s">
        <v>95</v>
      </c>
      <c r="BL34" s="22">
        <f>IF(Draft!$D$51&lt;=500,0,1)</f>
        <v>0</v>
      </c>
      <c r="BM34" s="22">
        <f>IF(AND(Draft!$D$44&gt;=2001,Draft!$D$44&lt;=2400),1,0)</f>
        <v>0</v>
      </c>
      <c r="BN34" s="22">
        <f t="shared" si="6"/>
        <v>0</v>
      </c>
      <c r="BO34" s="22">
        <v>45</v>
      </c>
      <c r="BP34" s="22">
        <f t="shared" ref="BP34:BP35" si="7">IF($BL$14=0,3,6)</f>
        <v>6</v>
      </c>
      <c r="BQ34" s="22">
        <f>6/2</f>
        <v>3</v>
      </c>
      <c r="BS34" s="22">
        <v>6</v>
      </c>
      <c r="BT34" s="22" t="str">
        <f>BS8&amp;"E79KITX620NB"</f>
        <v>VE79KITX620NB</v>
      </c>
      <c r="BU34" s="21" t="s">
        <v>150</v>
      </c>
    </row>
    <row r="35" spans="2:73" ht="15.75" thickBot="1" x14ac:dyDescent="0.3">
      <c r="B35" s="23"/>
      <c r="D35" s="24"/>
      <c r="K35" s="20"/>
      <c r="M35" s="29"/>
      <c r="N35" s="19"/>
      <c r="O35" s="26"/>
      <c r="P35" s="27"/>
      <c r="Q35" s="27"/>
      <c r="R35" s="27"/>
      <c r="S35" s="27"/>
      <c r="T35" s="27"/>
      <c r="U35" s="28"/>
      <c r="W35" s="19"/>
      <c r="Y35" s="66"/>
      <c r="Z35" s="130" t="str">
        <f>B17&amp;" = "&amp;D17</f>
        <v>SPB = 0</v>
      </c>
      <c r="AB35" s="26"/>
      <c r="AC35" s="27"/>
      <c r="AD35" s="28"/>
      <c r="AF35" s="5"/>
      <c r="AG35" s="18"/>
      <c r="AI35" s="130"/>
      <c r="BK35" s="21" t="s">
        <v>96</v>
      </c>
      <c r="BL35" s="22">
        <f>IF(Draft!$D$51&lt;=500,0,1)</f>
        <v>0</v>
      </c>
      <c r="BM35" s="22">
        <f>IF(AND(Draft!$D$44&gt;=2401,Draft!$D$44&lt;=2800),1,0)</f>
        <v>0</v>
      </c>
      <c r="BN35" s="22">
        <f t="shared" si="6"/>
        <v>0</v>
      </c>
      <c r="BO35" s="22">
        <v>50</v>
      </c>
      <c r="BP35" s="22">
        <f t="shared" si="7"/>
        <v>6</v>
      </c>
      <c r="BQ35" s="22">
        <f>6/2</f>
        <v>3</v>
      </c>
      <c r="BS35" s="22">
        <v>7</v>
      </c>
      <c r="BT35" s="22" t="str">
        <f>BS8&amp;"E79KITX620TB"</f>
        <v>VE79KITX620TB</v>
      </c>
      <c r="BU35" s="21" t="s">
        <v>151</v>
      </c>
    </row>
    <row r="36" spans="2:73" ht="15.75" thickBot="1" x14ac:dyDescent="0.3">
      <c r="B36" s="23"/>
      <c r="D36" s="24"/>
      <c r="K36" s="20"/>
      <c r="M36" s="29"/>
      <c r="N36" s="19"/>
      <c r="O36" s="30"/>
      <c r="P36" s="9"/>
      <c r="Q36" s="9"/>
      <c r="R36" s="9"/>
      <c r="S36" s="9"/>
      <c r="T36" s="9"/>
      <c r="U36" s="31"/>
      <c r="V36" s="36"/>
      <c r="W36" s="53"/>
      <c r="X36" s="44"/>
      <c r="Y36" s="65"/>
      <c r="Z36" s="130"/>
      <c r="AB36" s="30"/>
      <c r="AC36" s="9"/>
      <c r="AD36" s="31"/>
      <c r="AF36" s="33"/>
      <c r="AG36" s="44"/>
      <c r="AH36" s="12"/>
      <c r="AI36" s="130"/>
    </row>
    <row r="37" spans="2:73" ht="15.75" thickBot="1" x14ac:dyDescent="0.3">
      <c r="B37" s="21" t="str">
        <f>INDEX(AY47:AY48,MATCH(1,$AZ$4:$AZ$9,0))</f>
        <v>Code</v>
      </c>
      <c r="C37" s="21" t="str">
        <f>INDEX(AY50:AY51,MATCH(1,$AZ$4:$AZ$9,0))</f>
        <v>Description</v>
      </c>
      <c r="D37" s="22" t="str">
        <f>INDEX(AW53:AW54,MATCH(1,$AZ$4:$AZ$9,0))</f>
        <v>Qty</v>
      </c>
      <c r="J37" s="21" t="str">
        <f>B18&amp;" = "&amp;D18</f>
        <v>DBT = 0</v>
      </c>
      <c r="K37" s="56"/>
      <c r="L37" s="39"/>
      <c r="M37" s="30"/>
      <c r="N37" s="31"/>
      <c r="V37" s="30"/>
      <c r="W37" s="31"/>
      <c r="Z37" s="130"/>
      <c r="AB37" s="30"/>
      <c r="AC37" s="9"/>
      <c r="AD37" s="31"/>
      <c r="AE37" s="13"/>
      <c r="AF37" s="12"/>
      <c r="AG37" s="22" t="str">
        <f>B21&amp;" = "&amp;D21</f>
        <v>DAT = 0</v>
      </c>
      <c r="AH37" s="64"/>
      <c r="AY37" s="121" t="s">
        <v>71</v>
      </c>
      <c r="AZ37" s="121">
        <v>1</v>
      </c>
      <c r="BA37" s="121"/>
      <c r="BB37" s="121"/>
      <c r="BC37" s="121"/>
      <c r="BD37" s="121" t="s">
        <v>191</v>
      </c>
      <c r="BE37" s="121"/>
      <c r="BF37" s="121"/>
    </row>
    <row r="38" spans="2:73" x14ac:dyDescent="0.25">
      <c r="B38" s="60" t="str">
        <f>IFERROR(INDEX(#REF!,MATCH(2,#REF!,0)),"")</f>
        <v/>
      </c>
      <c r="C38" s="21" t="str">
        <f>IFERROR(VLOOKUP($B$38,#REF!,2,FALSE),"")</f>
        <v/>
      </c>
      <c r="D38" s="61">
        <v>1</v>
      </c>
      <c r="M38" s="27"/>
      <c r="N38" s="27"/>
      <c r="V38" s="27"/>
      <c r="W38" s="27"/>
      <c r="AB38" s="32"/>
      <c r="AC38" s="27"/>
      <c r="AD38" s="34"/>
      <c r="AY38" s="121" t="s">
        <v>72</v>
      </c>
      <c r="AZ38" s="121">
        <v>1</v>
      </c>
      <c r="BA38" s="121"/>
      <c r="BB38" s="121"/>
      <c r="BC38" s="121"/>
      <c r="BD38" s="121" t="s">
        <v>192</v>
      </c>
      <c r="BE38" s="121"/>
      <c r="BF38" s="121"/>
      <c r="BK38" s="101" t="s">
        <v>137</v>
      </c>
      <c r="BL38" s="102" t="s">
        <v>136</v>
      </c>
      <c r="BM38" s="102" t="s">
        <v>129</v>
      </c>
      <c r="BN38" s="102" t="s">
        <v>126</v>
      </c>
      <c r="BO38" s="103" t="s">
        <v>127</v>
      </c>
      <c r="BS38" s="22">
        <v>0</v>
      </c>
      <c r="BT38" s="22" t="str">
        <f>BS8&amp;"E79KITE700SA"</f>
        <v>VE79KITE700SA</v>
      </c>
      <c r="BU38" s="21" t="s">
        <v>154</v>
      </c>
    </row>
    <row r="39" spans="2:73" x14ac:dyDescent="0.25">
      <c r="B39" s="60" t="e">
        <f>INDEX(#REF!,MATCH(1,#REF!,0))</f>
        <v>#REF!</v>
      </c>
      <c r="C39" s="21" t="e">
        <f>VLOOKUP(B39,#REF!,2,FALSE)</f>
        <v>#REF!</v>
      </c>
      <c r="D39" s="61">
        <f>AW17</f>
        <v>0</v>
      </c>
      <c r="AC39" s="22" t="str">
        <f>B33&amp;" = "&amp;D33</f>
        <v>LP = 0</v>
      </c>
      <c r="AY39" s="121"/>
      <c r="AZ39" s="121"/>
      <c r="BA39" s="121"/>
      <c r="BB39" s="121"/>
      <c r="BC39" s="121"/>
      <c r="BD39" s="121" t="s">
        <v>235</v>
      </c>
      <c r="BE39" s="121"/>
      <c r="BF39" s="121"/>
      <c r="BK39" s="104">
        <f>IF(BL6=Draft!$C$43,1,0)</f>
        <v>0</v>
      </c>
      <c r="BL39" s="22">
        <f>IF(BL7=Draft!$C$43,0,1)</f>
        <v>1</v>
      </c>
      <c r="BM39" s="22">
        <f>IF(AV32=Draft!$C$42,0,1)</f>
        <v>1</v>
      </c>
      <c r="BN39" s="22" t="str">
        <f>BK39&amp;BL39&amp;BM39</f>
        <v>011</v>
      </c>
      <c r="BO39" s="105">
        <f>BIN2DEC(BN39)</f>
        <v>3</v>
      </c>
      <c r="BS39" s="22">
        <v>1</v>
      </c>
      <c r="BT39" s="22" t="str">
        <f>BS8&amp;"E79KITE700TA"</f>
        <v>VE79KITE700TA</v>
      </c>
      <c r="BU39" s="21" t="s">
        <v>155</v>
      </c>
    </row>
    <row r="40" spans="2:73" ht="15.75" thickBot="1" x14ac:dyDescent="0.3">
      <c r="AY40" s="121"/>
      <c r="AZ40" s="121"/>
      <c r="BA40" s="121"/>
      <c r="BB40" s="121"/>
      <c r="BC40" s="121"/>
      <c r="BD40" s="121" t="s">
        <v>252</v>
      </c>
      <c r="BE40" s="121"/>
      <c r="BF40" s="121"/>
      <c r="BK40" s="30"/>
      <c r="BL40" s="111">
        <f>IF(BL39=0,600,750)</f>
        <v>750</v>
      </c>
      <c r="BM40" s="9"/>
      <c r="BN40" s="9"/>
      <c r="BO40" s="31"/>
      <c r="BS40" s="22">
        <v>2</v>
      </c>
      <c r="BT40" s="22" t="str">
        <f>BS8&amp;"E79KITE710SA"</f>
        <v>VE79KITE710SA</v>
      </c>
      <c r="BU40" s="21" t="s">
        <v>156</v>
      </c>
    </row>
    <row r="41" spans="2:73" x14ac:dyDescent="0.25">
      <c r="L41" s="126" t="str">
        <f>IF(AZ14=0,B23&amp;" = "&amp;D23,B24&amp;" = "&amp;D24)</f>
        <v>SPI = 0</v>
      </c>
      <c r="M41" s="127"/>
      <c r="N41" s="128"/>
      <c r="V41" s="126" t="str">
        <f>IF(AZ14=1,B23&amp;" = "&amp;D23,B24&amp;" = "&amp;D24)</f>
        <v>SPE = 0</v>
      </c>
      <c r="W41" s="127"/>
      <c r="X41" s="128"/>
      <c r="AY41" s="121"/>
      <c r="AZ41" s="121"/>
      <c r="BA41" s="121"/>
      <c r="BB41" s="121"/>
      <c r="BC41" s="121"/>
      <c r="BD41" s="121" t="s">
        <v>268</v>
      </c>
      <c r="BE41" s="121"/>
      <c r="BF41" s="121"/>
      <c r="BS41" s="22">
        <v>3</v>
      </c>
      <c r="BT41" s="22" t="str">
        <f>BS8&amp;"E79KITE710TA"</f>
        <v>VE79KITE710TA</v>
      </c>
      <c r="BU41" s="21" t="s">
        <v>157</v>
      </c>
    </row>
    <row r="42" spans="2:73" x14ac:dyDescent="0.25">
      <c r="M42" s="42"/>
      <c r="N42" s="43"/>
      <c r="O42" s="44"/>
      <c r="P42" s="44"/>
      <c r="Q42" s="126" t="str">
        <f>B28&amp;" = "&amp;D28</f>
        <v>LI = 0</v>
      </c>
      <c r="R42" s="127"/>
      <c r="S42" s="128"/>
      <c r="T42" s="44"/>
      <c r="U42" s="44"/>
      <c r="V42" s="42"/>
      <c r="W42" s="43"/>
      <c r="AY42" s="121"/>
      <c r="AZ42" s="121"/>
      <c r="BA42" s="121"/>
      <c r="BB42" s="121"/>
      <c r="BC42" s="121"/>
      <c r="BD42" s="121" t="s">
        <v>286</v>
      </c>
      <c r="BE42" s="121"/>
      <c r="BF42" s="121"/>
    </row>
    <row r="43" spans="2:73" ht="15.75" thickBot="1" x14ac:dyDescent="0.3">
      <c r="M43" s="11"/>
      <c r="N43" s="10"/>
      <c r="O43" s="9"/>
      <c r="P43" s="9"/>
      <c r="Q43" s="9"/>
      <c r="R43" s="9"/>
      <c r="S43" s="9"/>
      <c r="T43" s="9"/>
      <c r="U43" s="9"/>
      <c r="V43" s="11"/>
      <c r="W43" s="10"/>
      <c r="AL43">
        <v>3</v>
      </c>
      <c r="AM43">
        <v>5</v>
      </c>
      <c r="AN43" s="21" t="s">
        <v>94</v>
      </c>
      <c r="AO43" s="22">
        <v>40</v>
      </c>
      <c r="AP43" s="22">
        <f t="shared" ref="AP43:AP45" si="8">IF($G$31=1,1,0)</f>
        <v>1</v>
      </c>
      <c r="AQ43" s="22">
        <f>IF(AND($D$20&gt;=1601,$D$20&lt;=2000),1,0)</f>
        <v>0</v>
      </c>
      <c r="AR43">
        <f>SUM(AP43:AQ43)</f>
        <v>1</v>
      </c>
      <c r="AY43" s="121"/>
      <c r="AZ43" s="121"/>
      <c r="BA43" s="121"/>
      <c r="BB43" s="121"/>
      <c r="BC43" s="121"/>
      <c r="BD43" s="121"/>
      <c r="BE43" s="121"/>
      <c r="BF43" s="121"/>
      <c r="BS43" s="21">
        <f>IF(BC17=Draft!C40,1,0)</f>
        <v>0</v>
      </c>
      <c r="BT43" s="21" t="str">
        <f>BS8&amp;"E79KITX5000A"</f>
        <v>VE79KITX5000A</v>
      </c>
      <c r="BU43" s="21" t="s">
        <v>158</v>
      </c>
    </row>
    <row r="44" spans="2:73" x14ac:dyDescent="0.25">
      <c r="M44" s="26"/>
      <c r="N44" s="28"/>
      <c r="O44" s="27"/>
      <c r="P44" s="27"/>
      <c r="Q44" s="27"/>
      <c r="R44" s="27"/>
      <c r="S44" s="27"/>
      <c r="T44" s="27"/>
      <c r="U44" s="27"/>
      <c r="V44" s="26"/>
      <c r="W44" s="28"/>
      <c r="AL44">
        <v>3</v>
      </c>
      <c r="AM44">
        <v>5</v>
      </c>
      <c r="AN44" s="21" t="s">
        <v>95</v>
      </c>
      <c r="AO44" s="22">
        <v>45</v>
      </c>
      <c r="AP44" s="22">
        <f t="shared" si="8"/>
        <v>1</v>
      </c>
      <c r="AQ44" s="22">
        <f>IF(AND($D$20&gt;=2001,$D$20&lt;=2400),1,0)</f>
        <v>0</v>
      </c>
      <c r="AR44">
        <f>SUM(AP44:AQ44)</f>
        <v>1</v>
      </c>
      <c r="AY44" s="121" t="s">
        <v>73</v>
      </c>
      <c r="AZ44" s="121">
        <v>2</v>
      </c>
      <c r="BA44" s="121"/>
      <c r="BB44" s="121"/>
      <c r="BC44" s="121"/>
      <c r="BD44" s="121" t="s">
        <v>194</v>
      </c>
      <c r="BE44" s="121"/>
      <c r="BF44" s="121"/>
      <c r="BS44" s="21">
        <f>IF(AND(BO14=0,Draft!D44&lt;=1600),1,0)</f>
        <v>1</v>
      </c>
      <c r="BT44" s="21" t="str">
        <f>BS8&amp;"E79KITX0351B"</f>
        <v>VE79KITX0351B</v>
      </c>
      <c r="BU44" s="21" t="s">
        <v>159</v>
      </c>
    </row>
    <row r="45" spans="2:73" x14ac:dyDescent="0.25">
      <c r="M45" s="29"/>
      <c r="N45" s="19"/>
      <c r="V45" s="29"/>
      <c r="W45" s="19"/>
      <c r="AL45">
        <v>3</v>
      </c>
      <c r="AM45">
        <v>5</v>
      </c>
      <c r="AN45" s="21" t="s">
        <v>96</v>
      </c>
      <c r="AO45" s="22">
        <v>50</v>
      </c>
      <c r="AP45" s="22">
        <f t="shared" si="8"/>
        <v>1</v>
      </c>
      <c r="AQ45" s="22">
        <f>IF(AND($D$20&gt;=2401,$D$20&lt;=2800),1,0)</f>
        <v>0</v>
      </c>
      <c r="AR45">
        <f>SUM(AP45:AQ45)</f>
        <v>1</v>
      </c>
      <c r="AY45" s="121" t="s">
        <v>74</v>
      </c>
      <c r="AZ45" s="121">
        <v>2</v>
      </c>
      <c r="BA45" s="121"/>
      <c r="BB45" s="121"/>
      <c r="BC45" s="121"/>
      <c r="BD45" s="121" t="s">
        <v>193</v>
      </c>
      <c r="BE45" s="121"/>
      <c r="BF45" s="121"/>
      <c r="BS45" s="21">
        <f>IF(AND(BO14=1,Draft!D44&lt;=1600),1,0)</f>
        <v>0</v>
      </c>
      <c r="BT45" s="21" t="str">
        <f>BS8&amp;"E79KITX0352B"</f>
        <v>VE79KITX0352B</v>
      </c>
      <c r="BU45" s="21" t="s">
        <v>160</v>
      </c>
    </row>
    <row r="46" spans="2:73" x14ac:dyDescent="0.25">
      <c r="M46" s="29"/>
      <c r="N46" s="19"/>
      <c r="V46" s="29"/>
      <c r="W46" s="19"/>
      <c r="AY46" s="121"/>
      <c r="AZ46" s="121"/>
      <c r="BA46" s="121"/>
      <c r="BB46" s="121"/>
      <c r="BC46" s="121"/>
      <c r="BD46" s="121" t="s">
        <v>236</v>
      </c>
      <c r="BE46" s="121"/>
      <c r="BF46" s="121"/>
    </row>
    <row r="47" spans="2:73" x14ac:dyDescent="0.25">
      <c r="M47" s="29"/>
      <c r="N47" s="19"/>
      <c r="V47" s="29"/>
      <c r="W47" s="19"/>
      <c r="AL47">
        <v>3</v>
      </c>
      <c r="AM47">
        <v>6</v>
      </c>
      <c r="AN47" s="21" t="s">
        <v>94</v>
      </c>
      <c r="AO47" s="22">
        <v>40</v>
      </c>
      <c r="AP47" s="22">
        <f t="shared" si="5"/>
        <v>0</v>
      </c>
      <c r="AQ47" s="22">
        <f>IF(AND($D$20&gt;=1601,$D$20&lt;=2000),1,0)</f>
        <v>0</v>
      </c>
      <c r="AR47">
        <f t="shared" ref="AR47:AR49" si="9">SUM(AP47:AQ47)</f>
        <v>0</v>
      </c>
      <c r="AY47" s="121" t="s">
        <v>87</v>
      </c>
      <c r="AZ47" s="121"/>
      <c r="BA47" s="121"/>
      <c r="BB47" s="121"/>
      <c r="BC47" s="121"/>
      <c r="BD47" s="121" t="s">
        <v>328</v>
      </c>
      <c r="BE47" s="121"/>
      <c r="BF47" s="121"/>
    </row>
    <row r="48" spans="2:73" x14ac:dyDescent="0.25">
      <c r="M48" s="29"/>
      <c r="N48" s="19"/>
      <c r="V48" s="29"/>
      <c r="W48" s="19"/>
      <c r="AL48">
        <v>3</v>
      </c>
      <c r="AM48">
        <v>6</v>
      </c>
      <c r="AN48" s="21" t="s">
        <v>95</v>
      </c>
      <c r="AO48" s="22">
        <v>45</v>
      </c>
      <c r="AP48" s="22">
        <f t="shared" si="5"/>
        <v>0</v>
      </c>
      <c r="AQ48" s="22">
        <f>IF(AND($D$20&gt;=2001,$D$20&lt;=2400),1,0)</f>
        <v>0</v>
      </c>
      <c r="AR48">
        <f t="shared" si="9"/>
        <v>0</v>
      </c>
      <c r="AY48" s="121" t="s">
        <v>104</v>
      </c>
      <c r="AZ48" s="121"/>
      <c r="BA48" s="121"/>
      <c r="BB48" s="121"/>
      <c r="BC48" s="121"/>
      <c r="BD48" s="121" t="s">
        <v>269</v>
      </c>
      <c r="BE48" s="121"/>
      <c r="BF48" s="121"/>
    </row>
    <row r="49" spans="12:58" ht="15.75" thickBot="1" x14ac:dyDescent="0.3">
      <c r="M49" s="30"/>
      <c r="N49" s="31"/>
      <c r="O49" s="9"/>
      <c r="P49" s="9"/>
      <c r="Q49" s="9"/>
      <c r="R49" s="9"/>
      <c r="S49" s="9"/>
      <c r="T49" s="9"/>
      <c r="U49" s="9"/>
      <c r="V49" s="30"/>
      <c r="W49" s="31"/>
      <c r="AL49">
        <v>3</v>
      </c>
      <c r="AM49">
        <v>6</v>
      </c>
      <c r="AN49" s="21" t="s">
        <v>96</v>
      </c>
      <c r="AO49" s="22">
        <v>50</v>
      </c>
      <c r="AP49" s="22">
        <f t="shared" si="5"/>
        <v>0</v>
      </c>
      <c r="AQ49" s="22">
        <f>IF(AND($D$20&gt;=2401,$D$20&lt;=2800),1,0)</f>
        <v>0</v>
      </c>
      <c r="AR49">
        <f t="shared" si="9"/>
        <v>0</v>
      </c>
      <c r="AY49" s="121" t="s">
        <v>317</v>
      </c>
      <c r="AZ49" s="121"/>
      <c r="BA49" s="121"/>
      <c r="BB49" s="121"/>
      <c r="BC49" s="121"/>
      <c r="BD49" s="121" t="s">
        <v>287</v>
      </c>
      <c r="BE49" s="121"/>
      <c r="BF49" s="121"/>
    </row>
    <row r="50" spans="12:58" ht="15.75" thickBot="1" x14ac:dyDescent="0.3">
      <c r="N50" s="46"/>
      <c r="V50" s="46"/>
      <c r="AY50" s="121" t="s">
        <v>86</v>
      </c>
      <c r="AZ50" s="121"/>
      <c r="BA50" s="121"/>
      <c r="BB50" s="121"/>
      <c r="BC50" s="121"/>
      <c r="BD50" s="121"/>
      <c r="BE50" s="121"/>
      <c r="BF50" s="121"/>
    </row>
    <row r="51" spans="12:58" ht="15.75" thickBot="1" x14ac:dyDescent="0.3">
      <c r="N51" s="1"/>
      <c r="O51" s="2"/>
      <c r="P51" s="2"/>
      <c r="Q51" s="3"/>
      <c r="S51" s="1"/>
      <c r="T51" s="2"/>
      <c r="U51" s="2"/>
      <c r="V51" s="3"/>
      <c r="AY51" s="121" t="s">
        <v>105</v>
      </c>
      <c r="AZ51" s="121"/>
      <c r="BA51" s="121"/>
      <c r="BB51" s="121"/>
      <c r="BC51" s="121"/>
      <c r="BD51" s="121"/>
      <c r="BE51" s="121"/>
      <c r="BF51" s="121"/>
    </row>
    <row r="52" spans="12:58" x14ac:dyDescent="0.25">
      <c r="N52" s="45"/>
      <c r="O52" s="33"/>
      <c r="P52" s="27"/>
      <c r="Q52" s="34"/>
      <c r="S52" s="32"/>
      <c r="T52" s="27"/>
      <c r="U52" s="33"/>
      <c r="V52" s="45"/>
      <c r="AY52" s="121"/>
      <c r="AZ52" s="121"/>
      <c r="BA52" s="121"/>
      <c r="BB52" s="121"/>
      <c r="BC52" s="121"/>
      <c r="BD52" s="121"/>
      <c r="BE52" s="121"/>
      <c r="BF52" s="121"/>
    </row>
    <row r="53" spans="12:58" x14ac:dyDescent="0.25">
      <c r="N53" s="35"/>
      <c r="P53" s="22" t="str">
        <f>B31&amp;" = "&amp;D31</f>
        <v>TL = 0</v>
      </c>
      <c r="R53" s="35"/>
      <c r="T53" s="22" t="str">
        <f>B31&amp;" = "&amp;D31</f>
        <v>TL = 0</v>
      </c>
      <c r="V53" s="35"/>
      <c r="AW53" s="121" t="s">
        <v>88</v>
      </c>
      <c r="AZ53" s="121"/>
      <c r="BA53" s="121"/>
      <c r="BB53" s="121"/>
      <c r="BC53" s="121"/>
      <c r="BD53" s="121" t="s">
        <v>195</v>
      </c>
      <c r="BE53" s="121"/>
      <c r="BF53" s="121"/>
    </row>
    <row r="54" spans="12:58" x14ac:dyDescent="0.25">
      <c r="L54" s="126" t="str">
        <f>IF(AZ14=0,B26&amp;" = "&amp;D26,B27&amp;" = "&amp;D27)</f>
        <v>D1 = 0</v>
      </c>
      <c r="M54" s="127"/>
      <c r="N54" s="128"/>
      <c r="R54" s="35"/>
      <c r="V54" s="126" t="str">
        <f>IF(AZ14=1,B26&amp;" = "&amp;D26,B27&amp;" = "&amp;D27)</f>
        <v>D2 = 0</v>
      </c>
      <c r="W54" s="127"/>
      <c r="X54" s="128"/>
      <c r="AW54" s="121" t="s">
        <v>106</v>
      </c>
      <c r="AZ54" s="121"/>
      <c r="BA54" s="121"/>
      <c r="BB54" s="121"/>
      <c r="BC54" s="121"/>
      <c r="BD54" s="121" t="s">
        <v>196</v>
      </c>
      <c r="BE54" s="121"/>
      <c r="BF54" s="121"/>
    </row>
    <row r="55" spans="12:58" x14ac:dyDescent="0.25">
      <c r="Q55" s="126" t="str">
        <f>B25&amp;" = "&amp;D25</f>
        <v>LU = 0</v>
      </c>
      <c r="R55" s="127"/>
      <c r="S55" s="128"/>
      <c r="AW55" s="121" t="s">
        <v>106</v>
      </c>
      <c r="AZ55" s="121"/>
      <c r="BA55" s="121"/>
      <c r="BB55" s="121"/>
      <c r="BC55" s="121"/>
      <c r="BD55" s="121" t="s">
        <v>237</v>
      </c>
      <c r="BE55" s="121"/>
      <c r="BF55" s="121"/>
    </row>
    <row r="56" spans="12:58" x14ac:dyDescent="0.25">
      <c r="AW56" s="121" t="s">
        <v>318</v>
      </c>
      <c r="AY56" s="121" t="s">
        <v>23</v>
      </c>
      <c r="AZ56" s="121"/>
      <c r="BA56" s="121"/>
      <c r="BB56" s="121"/>
      <c r="BC56" s="121"/>
      <c r="BD56" s="121" t="s">
        <v>253</v>
      </c>
      <c r="BE56" s="121"/>
      <c r="BF56" s="121"/>
    </row>
    <row r="57" spans="12:58" x14ac:dyDescent="0.25">
      <c r="AY57" s="121" t="s">
        <v>24</v>
      </c>
      <c r="AZ57" s="121"/>
      <c r="BA57" s="121"/>
      <c r="BB57" s="121"/>
      <c r="BC57" s="121"/>
      <c r="BD57" s="121" t="s">
        <v>270</v>
      </c>
      <c r="BE57" s="121"/>
      <c r="BF57" s="121"/>
    </row>
    <row r="58" spans="12:58" x14ac:dyDescent="0.25">
      <c r="AY58" s="121" t="s">
        <v>25</v>
      </c>
      <c r="AZ58" s="121"/>
      <c r="BA58" s="121"/>
      <c r="BB58" s="121"/>
      <c r="BC58" s="121"/>
      <c r="BD58" s="121" t="s">
        <v>288</v>
      </c>
      <c r="BE58" s="121"/>
      <c r="BF58" s="121"/>
    </row>
    <row r="59" spans="12:58" x14ac:dyDescent="0.25">
      <c r="AY59" s="121" t="s">
        <v>26</v>
      </c>
      <c r="AZ59" s="121"/>
      <c r="BA59" s="121"/>
      <c r="BB59" s="121"/>
      <c r="BC59" s="121"/>
      <c r="BD59" s="121"/>
      <c r="BE59" s="121"/>
      <c r="BF59" s="121"/>
    </row>
    <row r="60" spans="12:58" x14ac:dyDescent="0.25">
      <c r="AY60" s="121" t="s">
        <v>23</v>
      </c>
      <c r="AZ60" s="121"/>
      <c r="BA60" s="121"/>
      <c r="BB60" s="121"/>
      <c r="BC60" s="121"/>
      <c r="BD60" s="121" t="s">
        <v>197</v>
      </c>
      <c r="BE60" s="121"/>
      <c r="BF60" s="121"/>
    </row>
    <row r="61" spans="12:58" x14ac:dyDescent="0.25">
      <c r="AY61" s="121" t="s">
        <v>27</v>
      </c>
      <c r="AZ61" s="121"/>
      <c r="BA61" s="121"/>
      <c r="BB61" s="121"/>
      <c r="BC61" s="121"/>
      <c r="BD61" s="121" t="s">
        <v>180</v>
      </c>
      <c r="BE61" s="121"/>
      <c r="BF61" s="121"/>
    </row>
    <row r="62" spans="12:58" x14ac:dyDescent="0.25">
      <c r="AY62" s="121"/>
      <c r="AZ62" s="121"/>
      <c r="BA62" s="121"/>
      <c r="BB62" s="121"/>
      <c r="BC62" s="121"/>
      <c r="BD62" s="121" t="s">
        <v>238</v>
      </c>
      <c r="BE62" s="121"/>
      <c r="BF62" s="121"/>
    </row>
    <row r="63" spans="12:58" x14ac:dyDescent="0.25">
      <c r="AY63" s="121" t="s">
        <v>28</v>
      </c>
      <c r="AZ63" s="121"/>
      <c r="BA63" s="121"/>
      <c r="BB63" s="121"/>
      <c r="BC63" s="121"/>
      <c r="BD63" s="121" t="s">
        <v>254</v>
      </c>
      <c r="BE63" s="121"/>
      <c r="BF63" s="121"/>
    </row>
    <row r="64" spans="12:58" x14ac:dyDescent="0.25">
      <c r="AY64" s="121" t="s">
        <v>29</v>
      </c>
      <c r="AZ64" s="121"/>
      <c r="BA64" s="121"/>
      <c r="BB64" s="121"/>
      <c r="BC64" s="121"/>
      <c r="BD64" s="121" t="s">
        <v>271</v>
      </c>
      <c r="BE64" s="121"/>
      <c r="BF64" s="121"/>
    </row>
    <row r="65" spans="51:58" x14ac:dyDescent="0.25">
      <c r="AY65" s="121" t="s">
        <v>30</v>
      </c>
      <c r="AZ65" s="121"/>
      <c r="BA65" s="121"/>
      <c r="BB65" s="121"/>
      <c r="BC65" s="121"/>
      <c r="BD65" s="121" t="s">
        <v>289</v>
      </c>
      <c r="BE65" s="121"/>
      <c r="BF65" s="121"/>
    </row>
    <row r="66" spans="51:58" x14ac:dyDescent="0.25">
      <c r="AY66" s="121" t="s">
        <v>31</v>
      </c>
      <c r="AZ66" s="121"/>
      <c r="BA66" s="121"/>
      <c r="BB66" s="121"/>
      <c r="BC66" s="121"/>
      <c r="BD66" s="121"/>
      <c r="BE66" s="121"/>
      <c r="BF66" s="121"/>
    </row>
    <row r="67" spans="51:58" x14ac:dyDescent="0.25">
      <c r="AY67" s="121" t="s">
        <v>32</v>
      </c>
      <c r="AZ67" s="121"/>
      <c r="BA67" s="121"/>
      <c r="BB67" s="121"/>
      <c r="BC67" s="121"/>
      <c r="BD67" s="121" t="s">
        <v>198</v>
      </c>
      <c r="BE67" s="121"/>
      <c r="BF67" s="121"/>
    </row>
    <row r="68" spans="51:58" x14ac:dyDescent="0.25">
      <c r="AY68" s="121" t="s">
        <v>33</v>
      </c>
      <c r="AZ68" s="121"/>
      <c r="BA68" s="121"/>
      <c r="BB68" s="121"/>
      <c r="BC68" s="121"/>
      <c r="BD68" s="121" t="s">
        <v>135</v>
      </c>
      <c r="BE68" s="121"/>
      <c r="BF68" s="121"/>
    </row>
    <row r="69" spans="51:58" x14ac:dyDescent="0.25">
      <c r="AY69" s="121"/>
      <c r="AZ69" s="121"/>
      <c r="BA69" s="121"/>
      <c r="BB69" s="121"/>
      <c r="BC69" s="121"/>
      <c r="BD69" s="121" t="s">
        <v>239</v>
      </c>
      <c r="BE69" s="121"/>
      <c r="BF69" s="121"/>
    </row>
    <row r="70" spans="51:58" x14ac:dyDescent="0.25">
      <c r="AY70" s="121" t="s">
        <v>34</v>
      </c>
      <c r="AZ70" s="121"/>
      <c r="BA70" s="121"/>
      <c r="BB70" s="121"/>
      <c r="BC70" s="121"/>
      <c r="BD70" s="121" t="s">
        <v>255</v>
      </c>
      <c r="BE70" s="121"/>
      <c r="BF70" s="121"/>
    </row>
    <row r="71" spans="51:58" x14ac:dyDescent="0.25">
      <c r="AY71" s="121" t="s">
        <v>35</v>
      </c>
      <c r="AZ71" s="121"/>
      <c r="BA71" s="121"/>
      <c r="BB71" s="121"/>
      <c r="BC71" s="121"/>
      <c r="BD71" s="121" t="s">
        <v>272</v>
      </c>
      <c r="BE71" s="121"/>
      <c r="BF71" s="121"/>
    </row>
    <row r="72" spans="51:58" x14ac:dyDescent="0.25">
      <c r="AY72" s="121" t="s">
        <v>36</v>
      </c>
      <c r="AZ72" s="121"/>
      <c r="BA72" s="121"/>
      <c r="BB72" s="121"/>
      <c r="BC72" s="121"/>
      <c r="BD72" s="121" t="s">
        <v>290</v>
      </c>
      <c r="BE72" s="121"/>
      <c r="BF72" s="121"/>
    </row>
    <row r="73" spans="51:58" x14ac:dyDescent="0.25">
      <c r="AY73" s="121" t="s">
        <v>35</v>
      </c>
      <c r="AZ73" s="121"/>
      <c r="BA73" s="121"/>
      <c r="BB73" s="121"/>
      <c r="BC73" s="121"/>
      <c r="BD73" s="121"/>
      <c r="BE73" s="121"/>
      <c r="BF73" s="121"/>
    </row>
    <row r="74" spans="51:58" x14ac:dyDescent="0.25">
      <c r="AY74" s="121" t="s">
        <v>34</v>
      </c>
      <c r="AZ74" s="121"/>
      <c r="BA74" s="121"/>
      <c r="BB74" s="121"/>
      <c r="BC74" s="121"/>
      <c r="BD74" s="121" t="s">
        <v>199</v>
      </c>
      <c r="BE74" s="121"/>
      <c r="BF74" s="121"/>
    </row>
    <row r="75" spans="51:58" x14ac:dyDescent="0.25">
      <c r="AY75" s="121" t="s">
        <v>37</v>
      </c>
      <c r="AZ75" s="121"/>
      <c r="BA75" s="121"/>
      <c r="BB75" s="121"/>
      <c r="BC75" s="121"/>
      <c r="BD75" s="121" t="s">
        <v>200</v>
      </c>
      <c r="BE75" s="121"/>
      <c r="BF75" s="121"/>
    </row>
    <row r="76" spans="51:58" x14ac:dyDescent="0.25">
      <c r="AY76" s="121"/>
      <c r="AZ76" s="121"/>
      <c r="BA76" s="121"/>
      <c r="BB76" s="121"/>
      <c r="BC76" s="121"/>
      <c r="BD76" s="121" t="s">
        <v>240</v>
      </c>
      <c r="BE76" s="121"/>
      <c r="BF76" s="121"/>
    </row>
    <row r="77" spans="51:58" x14ac:dyDescent="0.25">
      <c r="AY77" s="121" t="s">
        <v>38</v>
      </c>
      <c r="AZ77" s="121"/>
      <c r="BA77" s="121"/>
      <c r="BB77" s="121"/>
      <c r="BC77" s="121"/>
      <c r="BD77" s="121" t="s">
        <v>256</v>
      </c>
      <c r="BE77" s="121"/>
      <c r="BF77" s="121"/>
    </row>
    <row r="78" spans="51:58" x14ac:dyDescent="0.25">
      <c r="AY78" s="121" t="s">
        <v>39</v>
      </c>
      <c r="AZ78" s="121"/>
      <c r="BA78" s="121"/>
      <c r="BB78" s="121"/>
      <c r="BC78" s="121"/>
      <c r="BD78" s="121" t="s">
        <v>273</v>
      </c>
      <c r="BE78" s="121"/>
      <c r="BF78" s="121"/>
    </row>
    <row r="79" spans="51:58" x14ac:dyDescent="0.25">
      <c r="AY79" s="121" t="s">
        <v>40</v>
      </c>
      <c r="AZ79" s="121"/>
      <c r="BA79" s="121"/>
      <c r="BB79" s="121"/>
      <c r="BC79" s="121"/>
      <c r="BD79" s="121" t="s">
        <v>291</v>
      </c>
      <c r="BE79" s="121"/>
      <c r="BF79" s="121"/>
    </row>
    <row r="80" spans="51:58" x14ac:dyDescent="0.25">
      <c r="AY80" s="121" t="s">
        <v>41</v>
      </c>
      <c r="AZ80" s="121"/>
      <c r="BA80" s="121"/>
      <c r="BB80" s="121"/>
      <c r="BC80" s="121"/>
      <c r="BD80" s="121"/>
      <c r="BE80" s="121"/>
      <c r="BF80" s="121"/>
    </row>
    <row r="81" spans="51:58" x14ac:dyDescent="0.25">
      <c r="AY81" s="121" t="s">
        <v>42</v>
      </c>
      <c r="AZ81" s="121"/>
      <c r="BA81" s="121"/>
      <c r="BB81" s="121"/>
      <c r="BC81" s="121"/>
      <c r="BD81" s="121" t="s">
        <v>201</v>
      </c>
      <c r="BE81" s="121"/>
      <c r="BF81" s="121"/>
    </row>
    <row r="82" spans="51:58" x14ac:dyDescent="0.25">
      <c r="AY82" s="121" t="s">
        <v>43</v>
      </c>
      <c r="AZ82" s="121"/>
      <c r="BA82" s="121"/>
      <c r="BB82" s="121"/>
      <c r="BC82" s="121"/>
      <c r="BD82" s="121" t="s">
        <v>202</v>
      </c>
      <c r="BE82" s="121"/>
      <c r="BF82" s="121"/>
    </row>
    <row r="83" spans="51:58" x14ac:dyDescent="0.25">
      <c r="AY83" s="121"/>
      <c r="AZ83" s="121"/>
      <c r="BA83" s="121"/>
      <c r="BB83" s="121"/>
      <c r="BC83" s="121"/>
      <c r="BD83" s="121" t="s">
        <v>258</v>
      </c>
      <c r="BE83" s="121"/>
      <c r="BF83" s="121"/>
    </row>
    <row r="84" spans="51:58" x14ac:dyDescent="0.25">
      <c r="AY84" s="121" t="s">
        <v>18</v>
      </c>
      <c r="AZ84" s="121"/>
      <c r="BA84" s="121"/>
      <c r="BB84" s="121"/>
      <c r="BC84" s="121"/>
      <c r="BD84" s="121" t="s">
        <v>257</v>
      </c>
      <c r="BE84" s="121"/>
      <c r="BF84" s="121"/>
    </row>
    <row r="85" spans="51:58" x14ac:dyDescent="0.25">
      <c r="AY85" s="121" t="s">
        <v>174</v>
      </c>
      <c r="AZ85" s="121"/>
      <c r="BA85" s="121"/>
      <c r="BB85" s="121"/>
      <c r="BC85" s="121"/>
      <c r="BD85" s="121" t="s">
        <v>274</v>
      </c>
      <c r="BE85" s="121"/>
      <c r="BF85" s="121"/>
    </row>
    <row r="86" spans="51:58" x14ac:dyDescent="0.25">
      <c r="AY86" s="121" t="s">
        <v>19</v>
      </c>
      <c r="AZ86" s="121"/>
      <c r="BA86" s="121"/>
      <c r="BB86" s="121"/>
      <c r="BC86" s="121"/>
      <c r="BD86" s="121" t="s">
        <v>292</v>
      </c>
      <c r="BE86" s="121"/>
      <c r="BF86" s="121"/>
    </row>
    <row r="87" spans="51:58" x14ac:dyDescent="0.25">
      <c r="AY87" s="121" t="s">
        <v>20</v>
      </c>
      <c r="AZ87" s="121"/>
      <c r="BA87" s="121"/>
      <c r="BB87" s="121"/>
      <c r="BC87" s="121"/>
      <c r="BD87" s="121"/>
      <c r="BE87" s="121"/>
      <c r="BF87" s="121"/>
    </row>
    <row r="88" spans="51:58" x14ac:dyDescent="0.25">
      <c r="AY88" s="121" t="s">
        <v>21</v>
      </c>
      <c r="AZ88" s="121"/>
      <c r="BA88" s="121"/>
      <c r="BB88" s="121"/>
      <c r="BC88" s="121"/>
      <c r="BD88" s="121" t="s">
        <v>203</v>
      </c>
      <c r="BE88" s="121"/>
      <c r="BF88" s="121"/>
    </row>
    <row r="89" spans="51:58" x14ac:dyDescent="0.25">
      <c r="AY89" s="121" t="s">
        <v>22</v>
      </c>
      <c r="AZ89" s="121"/>
      <c r="BA89" s="121"/>
      <c r="BB89" s="121"/>
      <c r="BC89" s="121"/>
      <c r="BD89" s="121" t="s">
        <v>204</v>
      </c>
      <c r="BE89" s="121"/>
      <c r="BF89" s="121"/>
    </row>
    <row r="90" spans="51:58" x14ac:dyDescent="0.25">
      <c r="AY90" s="121"/>
      <c r="AZ90" s="121"/>
      <c r="BA90" s="121"/>
      <c r="BB90" s="121"/>
      <c r="BC90" s="121"/>
      <c r="BD90" s="121" t="s">
        <v>241</v>
      </c>
      <c r="BE90" s="121"/>
      <c r="BF90" s="121"/>
    </row>
    <row r="91" spans="51:58" x14ac:dyDescent="0.25">
      <c r="AY91" s="121" t="s">
        <v>302</v>
      </c>
      <c r="AZ91" s="121"/>
      <c r="BA91" s="121"/>
      <c r="BB91" s="121"/>
      <c r="BC91" s="121"/>
      <c r="BD91" s="121" t="s">
        <v>259</v>
      </c>
      <c r="BE91" s="121"/>
      <c r="BF91" s="121"/>
    </row>
    <row r="92" spans="51:58" x14ac:dyDescent="0.25">
      <c r="AY92" s="121" t="s">
        <v>175</v>
      </c>
      <c r="AZ92" s="121"/>
      <c r="BA92" s="121"/>
      <c r="BB92" s="121"/>
      <c r="BC92" s="121"/>
      <c r="BD92" s="121" t="s">
        <v>275</v>
      </c>
      <c r="BE92" s="121"/>
      <c r="BF92" s="121"/>
    </row>
    <row r="93" spans="51:58" x14ac:dyDescent="0.25">
      <c r="AY93" s="121" t="s">
        <v>244</v>
      </c>
      <c r="AZ93" s="121"/>
      <c r="BA93" s="121"/>
      <c r="BB93" s="121"/>
      <c r="BC93" s="121"/>
      <c r="BD93" s="121" t="s">
        <v>293</v>
      </c>
      <c r="BE93" s="121"/>
      <c r="BF93" s="121"/>
    </row>
    <row r="94" spans="51:58" x14ac:dyDescent="0.25">
      <c r="AY94" s="121" t="s">
        <v>261</v>
      </c>
      <c r="AZ94" s="121"/>
      <c r="BA94" s="121"/>
      <c r="BB94" s="121"/>
      <c r="BC94" s="121"/>
      <c r="BD94" s="121"/>
      <c r="BE94" s="121"/>
      <c r="BF94" s="121"/>
    </row>
    <row r="95" spans="51:58" x14ac:dyDescent="0.25">
      <c r="AY95" s="121" t="s">
        <v>278</v>
      </c>
      <c r="AZ95" s="121"/>
      <c r="BA95" s="121"/>
      <c r="BB95" s="121"/>
      <c r="BC95" s="121"/>
      <c r="BD95" s="121"/>
      <c r="BE95" s="121"/>
      <c r="BF95" s="121"/>
    </row>
    <row r="96" spans="51:58" x14ac:dyDescent="0.25">
      <c r="AY96" s="121" t="s">
        <v>296</v>
      </c>
      <c r="AZ96" s="121"/>
      <c r="BA96" s="121"/>
      <c r="BB96" s="121"/>
      <c r="BC96" s="121"/>
      <c r="BD96" s="121"/>
      <c r="BE96" s="121"/>
      <c r="BF96" s="121"/>
    </row>
    <row r="97" spans="51:58" x14ac:dyDescent="0.25">
      <c r="AY97" s="121"/>
      <c r="AZ97" s="121"/>
      <c r="BA97" s="121"/>
      <c r="BB97" s="121"/>
      <c r="BC97" s="121"/>
      <c r="BD97" s="121"/>
      <c r="BE97" s="121"/>
      <c r="BF97" s="121"/>
    </row>
    <row r="98" spans="51:58" x14ac:dyDescent="0.25">
      <c r="AY98" s="121" t="str">
        <f xml:space="preserve"> "Spessore spalla centrale min "&amp;BL18&amp;" (mm)"</f>
        <v>Spessore spalla centrale min 16 (mm)</v>
      </c>
      <c r="AZ98" s="121"/>
      <c r="BA98" s="121"/>
      <c r="BB98" s="121"/>
      <c r="BC98" s="121"/>
      <c r="BD98" s="121" t="s">
        <v>87</v>
      </c>
      <c r="BE98" s="121"/>
      <c r="BF98" s="121"/>
    </row>
    <row r="99" spans="51:58" x14ac:dyDescent="0.25">
      <c r="AY99" s="121" t="str">
        <f>"Central panel thickness (mm) – min "&amp;BL18&amp;" (mm)"</f>
        <v>Central panel thickness (mm) – min 16 (mm)</v>
      </c>
      <c r="AZ99" s="121"/>
      <c r="BA99" s="121"/>
      <c r="BB99" s="121"/>
      <c r="BC99" s="121"/>
      <c r="BD99" s="121" t="s">
        <v>104</v>
      </c>
      <c r="BE99" s="121"/>
      <c r="BF99" s="121"/>
    </row>
    <row r="100" spans="51:58" x14ac:dyDescent="0.25">
      <c r="AY100" s="121" t="str">
        <f>"Stärke Mittelseite, min "&amp;BL18&amp;" (mm)"</f>
        <v>Stärke Mittelseite, min 16 (mm)</v>
      </c>
      <c r="AZ100" s="121"/>
      <c r="BA100" s="121"/>
      <c r="BB100" s="121"/>
      <c r="BC100" s="121"/>
      <c r="BD100" s="121" t="s">
        <v>104</v>
      </c>
      <c r="BE100" s="121"/>
      <c r="BF100" s="121"/>
    </row>
    <row r="101" spans="51:58" x14ac:dyDescent="0.25">
      <c r="AY101" s="121" t="str">
        <f>"Epaisseur montant central min "&amp;BL18&amp;" (mm)"</f>
        <v>Epaisseur montant central min 16 (mm)</v>
      </c>
      <c r="AZ101" s="121"/>
      <c r="BA101" s="121"/>
      <c r="BB101" s="121"/>
      <c r="BC101" s="121"/>
      <c r="BD101" s="121" t="s">
        <v>317</v>
      </c>
      <c r="BE101" s="121"/>
      <c r="BF101" s="121"/>
    </row>
    <row r="102" spans="51:58" x14ac:dyDescent="0.25">
      <c r="AY102" s="121" t="str">
        <f>"Espessura da lateral central min "&amp;BL18&amp;" (mm)"</f>
        <v>Espessura da lateral central min 16 (mm)</v>
      </c>
      <c r="AZ102" s="121"/>
      <c r="BA102" s="121"/>
      <c r="BB102" s="121"/>
      <c r="BC102" s="121"/>
      <c r="BD102" s="121" t="s">
        <v>308</v>
      </c>
      <c r="BE102" s="121"/>
      <c r="BF102" s="121"/>
    </row>
    <row r="103" spans="51:58" x14ac:dyDescent="0.25">
      <c r="AY103" s="121" t="str">
        <f>"Espesor panel central min "&amp;BL18&amp;" (mm)"</f>
        <v>Espesor panel central min 16 (mm)</v>
      </c>
      <c r="AZ103" s="121"/>
      <c r="BA103" s="121"/>
      <c r="BB103" s="121"/>
      <c r="BC103" s="121"/>
      <c r="BD103" s="121" t="s">
        <v>308</v>
      </c>
      <c r="BE103" s="121"/>
      <c r="BF103" s="121"/>
    </row>
    <row r="104" spans="51:58" x14ac:dyDescent="0.25">
      <c r="AY104" s="121"/>
      <c r="AZ104" s="121"/>
      <c r="BA104" s="121"/>
      <c r="BB104" s="121"/>
      <c r="BC104" s="121"/>
      <c r="BD104" s="121"/>
      <c r="BE104" s="121"/>
      <c r="BF104" s="121"/>
    </row>
    <row r="105" spans="51:58" x14ac:dyDescent="0.25">
      <c r="AY105" s="121" t="str">
        <f>"Spessore anta (mm) • min 18 mm - max "&amp;BL19&amp;" mm"</f>
        <v>Spessore anta (mm) • min 18 mm - max 25 mm</v>
      </c>
      <c r="AZ105" s="121"/>
      <c r="BA105" s="121"/>
      <c r="BB105" s="121"/>
      <c r="BC105" s="121"/>
      <c r="BD105" s="121" t="s">
        <v>86</v>
      </c>
      <c r="BE105" s="121"/>
      <c r="BF105" s="121"/>
    </row>
    <row r="106" spans="51:58" x14ac:dyDescent="0.25">
      <c r="AY106" s="121" t="str">
        <f>"Door thickness (mm) – min 18 mm max "&amp;BL19&amp;" mm"</f>
        <v>Door thickness (mm) – min 18 mm max 25 mm</v>
      </c>
      <c r="AZ106" s="121"/>
      <c r="BA106" s="121"/>
      <c r="BB106" s="121"/>
      <c r="BC106" s="121"/>
      <c r="BD106" s="121" t="s">
        <v>105</v>
      </c>
      <c r="BE106" s="121"/>
      <c r="BF106" s="121"/>
    </row>
    <row r="107" spans="51:58" x14ac:dyDescent="0.25">
      <c r="AY107" s="121" t="str">
        <f>"Türstärke (mm) - min 18 mm max "&amp;BL19&amp;" mm"</f>
        <v>Türstärke (mm) - min 18 mm max 25 mm</v>
      </c>
      <c r="AZ107" s="121"/>
      <c r="BA107" s="121"/>
      <c r="BB107" s="121"/>
      <c r="BC107" s="121"/>
      <c r="BD107" s="121" t="s">
        <v>309</v>
      </c>
      <c r="BE107" s="121"/>
      <c r="BF107" s="121"/>
    </row>
    <row r="108" spans="51:58" x14ac:dyDescent="0.25">
      <c r="AY108" s="121" t="str">
        <f>"Épaisseur de la porte (mm) - min 18 mm max "&amp;BL19&amp;" mm"</f>
        <v>Épaisseur de la porte (mm) - min 18 mm max 25 mm</v>
      </c>
      <c r="AZ108" s="121"/>
      <c r="BA108" s="121"/>
      <c r="BB108" s="121"/>
      <c r="BC108" s="121"/>
      <c r="BD108" s="121" t="s">
        <v>105</v>
      </c>
      <c r="BE108" s="121"/>
      <c r="BF108" s="121"/>
    </row>
    <row r="109" spans="51:58" x14ac:dyDescent="0.25">
      <c r="AY109" s="121" t="str">
        <f>"Espessura da porta (mm) - min 18 mm max "&amp;BL19&amp;" mm"</f>
        <v>Espessura da porta (mm) - min 18 mm max 25 mm</v>
      </c>
      <c r="AZ109" s="121"/>
      <c r="BA109" s="121"/>
      <c r="BB109" s="121"/>
      <c r="BC109" s="121"/>
      <c r="BD109" s="121" t="s">
        <v>310</v>
      </c>
      <c r="BE109" s="121"/>
      <c r="BF109" s="121"/>
    </row>
    <row r="110" spans="51:58" x14ac:dyDescent="0.25">
      <c r="AY110" s="121" t="str">
        <f>"Grosor de la puerta (mm) - mín. 18 mm máx. "&amp;BL19&amp;" mm"</f>
        <v>Grosor de la puerta (mm) - mín. 18 mm máx. 25 mm</v>
      </c>
      <c r="AZ110" s="121"/>
      <c r="BA110" s="121"/>
      <c r="BB110" s="121"/>
      <c r="BC110" s="121"/>
      <c r="BD110" s="121" t="s">
        <v>311</v>
      </c>
      <c r="BE110" s="121"/>
      <c r="BF110" s="121"/>
    </row>
    <row r="111" spans="51:58" x14ac:dyDescent="0.25">
      <c r="AY111" s="121"/>
      <c r="AZ111" s="121"/>
      <c r="BA111" s="121"/>
      <c r="BB111" s="121"/>
      <c r="BC111" s="121"/>
      <c r="BD111" s="121"/>
      <c r="BE111" s="121"/>
      <c r="BF111" s="121"/>
    </row>
    <row r="112" spans="51:58" x14ac:dyDescent="0.25">
      <c r="AY112" s="121" t="s">
        <v>303</v>
      </c>
      <c r="AZ112" s="121"/>
      <c r="BA112" s="121"/>
      <c r="BB112" s="121"/>
      <c r="BC112" s="121"/>
      <c r="BD112" s="121" t="s">
        <v>316</v>
      </c>
      <c r="BE112" s="121"/>
      <c r="BF112" s="121"/>
    </row>
    <row r="113" spans="51:58" x14ac:dyDescent="0.25">
      <c r="AY113" s="122" t="s">
        <v>183</v>
      </c>
      <c r="AZ113" s="121"/>
      <c r="BA113" s="121"/>
      <c r="BB113" s="121"/>
      <c r="BC113" s="121"/>
      <c r="BD113" s="121" t="s">
        <v>312</v>
      </c>
      <c r="BE113" s="121"/>
      <c r="BF113" s="121"/>
    </row>
    <row r="114" spans="51:58" x14ac:dyDescent="0.25">
      <c r="AY114" s="121" t="s">
        <v>304</v>
      </c>
      <c r="AZ114" s="121"/>
      <c r="BA114" s="121"/>
      <c r="BB114" s="121"/>
      <c r="BC114" s="121"/>
      <c r="BD114" s="121" t="s">
        <v>313</v>
      </c>
      <c r="BE114" s="121"/>
      <c r="BF114" s="121"/>
    </row>
    <row r="115" spans="51:58" x14ac:dyDescent="0.25">
      <c r="AY115" s="121" t="s">
        <v>305</v>
      </c>
      <c r="AZ115" s="121"/>
      <c r="BA115" s="121"/>
      <c r="BB115" s="121"/>
      <c r="BC115" s="121"/>
      <c r="BD115" s="121" t="s">
        <v>314</v>
      </c>
      <c r="BE115" s="121"/>
      <c r="BF115" s="121"/>
    </row>
    <row r="116" spans="51:58" x14ac:dyDescent="0.25">
      <c r="AY116" s="121" t="s">
        <v>306</v>
      </c>
      <c r="AZ116" s="121"/>
      <c r="BA116" s="121"/>
      <c r="BB116" s="121"/>
      <c r="BC116" s="121"/>
      <c r="BD116" s="121" t="s">
        <v>315</v>
      </c>
      <c r="BE116" s="121"/>
      <c r="BF116" s="121"/>
    </row>
    <row r="117" spans="51:58" x14ac:dyDescent="0.25">
      <c r="AY117" s="121" t="s">
        <v>307</v>
      </c>
      <c r="AZ117" s="121"/>
      <c r="BA117" s="121"/>
      <c r="BB117" s="121"/>
      <c r="BC117" s="121"/>
      <c r="BD117" s="121" t="s">
        <v>315</v>
      </c>
      <c r="BE117" s="121"/>
      <c r="BF117" s="121"/>
    </row>
    <row r="118" spans="51:58" x14ac:dyDescent="0.25">
      <c r="AY118" s="121"/>
      <c r="AZ118" s="121"/>
      <c r="BA118" s="121"/>
      <c r="BB118" s="121"/>
      <c r="BC118" s="121"/>
      <c r="BD118" s="121"/>
      <c r="BE118" s="121"/>
      <c r="BF118" s="121"/>
    </row>
    <row r="119" spans="51:58" x14ac:dyDescent="0.25">
      <c r="AY119" s="121" t="str">
        <f>"Larghezza ante (mm) – min 350 mm max "&amp;BS3&amp;" mm"</f>
        <v>Larghezza ante (mm) – min 350 mm max 750 mm</v>
      </c>
      <c r="AZ119" s="121"/>
      <c r="BA119" s="121"/>
      <c r="BB119" s="121"/>
      <c r="BC119" s="121"/>
      <c r="BD119" s="121"/>
      <c r="BE119" s="121"/>
      <c r="BF119" s="121"/>
    </row>
    <row r="120" spans="51:58" x14ac:dyDescent="0.25">
      <c r="AY120" s="121" t="str">
        <f>"Door width (mm) – min 350 mm max "&amp;BS3&amp;" mm"</f>
        <v>Door width (mm) – min 350 mm max 750 mm</v>
      </c>
      <c r="AZ120" s="121"/>
      <c r="BA120" s="121"/>
      <c r="BB120" s="121"/>
      <c r="BC120" s="121"/>
      <c r="BD120" s="121"/>
      <c r="BE120" s="121"/>
      <c r="BF120" s="121"/>
    </row>
    <row r="121" spans="51:58" x14ac:dyDescent="0.25">
      <c r="AY121" s="121" t="str">
        <f>"Türbreite (mm) - min 350 mm max "&amp;BS3&amp;" mm"</f>
        <v>Türbreite (mm) - min 350 mm max 750 mm</v>
      </c>
      <c r="AZ121" s="121"/>
      <c r="BA121" s="121"/>
      <c r="BB121" s="121"/>
      <c r="BC121" s="121"/>
      <c r="BD121" s="121"/>
      <c r="BE121" s="121"/>
      <c r="BF121" s="121"/>
    </row>
    <row r="122" spans="51:58" x14ac:dyDescent="0.25">
      <c r="AY122" s="121" t="str">
        <f>"Largeur de la porte (mm) - min 350 mm max "&amp;BS3&amp;" mm"</f>
        <v>Largeur de la porte (mm) - min 350 mm max 750 mm</v>
      </c>
      <c r="AZ122" s="121"/>
      <c r="BA122" s="121"/>
      <c r="BB122" s="121"/>
      <c r="BC122" s="121"/>
      <c r="BD122" s="121"/>
      <c r="BE122" s="121"/>
      <c r="BF122" s="121"/>
    </row>
    <row r="123" spans="51:58" x14ac:dyDescent="0.25">
      <c r="AY123" s="121" t="str">
        <f>"Largura da porta (mm) - min 350 mm max "&amp;BS3&amp;" mm"</f>
        <v>Largura da porta (mm) - min 350 mm max 750 mm</v>
      </c>
      <c r="AZ123" s="121"/>
      <c r="BA123" s="121"/>
      <c r="BB123" s="121"/>
      <c r="BC123" s="121"/>
      <c r="BD123" s="121"/>
      <c r="BE123" s="121"/>
      <c r="BF123" s="121"/>
    </row>
    <row r="124" spans="51:58" x14ac:dyDescent="0.25">
      <c r="AY124" s="121" t="str">
        <f>"Anchura de puerta (mm) - mín 350 mm máx "&amp;BS3&amp;" mm"</f>
        <v>Anchura de puerta (mm) - mín 350 mm máx 750 mm</v>
      </c>
      <c r="AZ124" s="121"/>
      <c r="BA124" s="121"/>
      <c r="BB124" s="121"/>
      <c r="BC124" s="121"/>
      <c r="BD124" s="121"/>
      <c r="BE124" s="121"/>
      <c r="BF124" s="121"/>
    </row>
    <row r="125" spans="51:58" x14ac:dyDescent="0.25">
      <c r="AY125" s="121"/>
      <c r="AZ125" s="121"/>
      <c r="BA125" s="121"/>
      <c r="BB125" s="121"/>
      <c r="BC125" s="121"/>
      <c r="BD125" s="121"/>
      <c r="BE125" s="121"/>
      <c r="BF125" s="121"/>
    </row>
    <row r="126" spans="51:58" x14ac:dyDescent="0.25">
      <c r="AY126" s="121" t="s">
        <v>44</v>
      </c>
      <c r="AZ126" s="121"/>
      <c r="BA126" s="121"/>
      <c r="BB126" s="121"/>
      <c r="BC126" s="121"/>
      <c r="BD126" s="121"/>
      <c r="BE126" s="121"/>
      <c r="BF126" s="121"/>
    </row>
    <row r="127" spans="51:58" x14ac:dyDescent="0.25">
      <c r="AY127" s="121" t="s">
        <v>176</v>
      </c>
      <c r="AZ127" s="121"/>
      <c r="BA127" s="121"/>
      <c r="BB127" s="121"/>
      <c r="BC127" s="121"/>
      <c r="BD127" s="121"/>
      <c r="BE127" s="121"/>
      <c r="BF127" s="121"/>
    </row>
    <row r="128" spans="51:58" x14ac:dyDescent="0.25">
      <c r="AY128" s="121" t="s">
        <v>45</v>
      </c>
      <c r="AZ128" s="121"/>
      <c r="BA128" s="121"/>
      <c r="BB128" s="121"/>
      <c r="BC128" s="121"/>
      <c r="BD128" s="121"/>
      <c r="BE128" s="121"/>
      <c r="BF128" s="121"/>
    </row>
    <row r="129" spans="51:58" x14ac:dyDescent="0.25">
      <c r="AY129" s="121" t="s">
        <v>46</v>
      </c>
      <c r="AZ129" s="121"/>
      <c r="BA129" s="121"/>
      <c r="BB129" s="121"/>
      <c r="BC129" s="121"/>
      <c r="BD129" s="121"/>
      <c r="BE129" s="121"/>
      <c r="BF129" s="121"/>
    </row>
    <row r="130" spans="51:58" x14ac:dyDescent="0.25">
      <c r="AY130" s="121" t="s">
        <v>47</v>
      </c>
      <c r="AZ130" s="121"/>
      <c r="BA130" s="121"/>
      <c r="BB130" s="121"/>
      <c r="BC130" s="121"/>
      <c r="BD130" s="121"/>
      <c r="BE130" s="121"/>
      <c r="BF130" s="121"/>
    </row>
    <row r="131" spans="51:58" x14ac:dyDescent="0.25">
      <c r="AY131" s="121" t="s">
        <v>48</v>
      </c>
      <c r="AZ131" s="121"/>
      <c r="BA131" s="121"/>
      <c r="BB131" s="121"/>
      <c r="BC131" s="121"/>
      <c r="BD131" s="121"/>
      <c r="BE131" s="121"/>
      <c r="BF131" s="121"/>
    </row>
    <row r="132" spans="51:58" x14ac:dyDescent="0.25">
      <c r="AY132" s="121"/>
      <c r="AZ132" s="121"/>
      <c r="BA132" s="121"/>
      <c r="BB132" s="121"/>
      <c r="BC132" s="121"/>
      <c r="BD132" s="121"/>
      <c r="BE132" s="121"/>
      <c r="BF132" s="121"/>
    </row>
    <row r="133" spans="51:58" x14ac:dyDescent="0.25">
      <c r="AY133" s="121" t="s">
        <v>75</v>
      </c>
      <c r="AZ133" s="121"/>
      <c r="BA133" s="121"/>
      <c r="BB133" s="121"/>
      <c r="BC133" s="121"/>
      <c r="BD133" s="121"/>
      <c r="BE133" s="121"/>
      <c r="BF133" s="121"/>
    </row>
    <row r="134" spans="51:58" x14ac:dyDescent="0.25">
      <c r="AY134" s="121" t="s">
        <v>177</v>
      </c>
      <c r="AZ134" s="121"/>
      <c r="BA134" s="121"/>
      <c r="BB134" s="121"/>
      <c r="BC134" s="121"/>
      <c r="BD134" s="121"/>
      <c r="BE134" s="121"/>
      <c r="BF134" s="121"/>
    </row>
    <row r="135" spans="51:58" x14ac:dyDescent="0.25">
      <c r="AY135" s="121" t="s">
        <v>76</v>
      </c>
      <c r="AZ135" s="121"/>
      <c r="BA135" s="121"/>
      <c r="BB135" s="121"/>
      <c r="BC135" s="121"/>
      <c r="BD135" s="121"/>
      <c r="BE135" s="121"/>
      <c r="BF135" s="121"/>
    </row>
    <row r="136" spans="51:58" x14ac:dyDescent="0.25">
      <c r="AY136" s="121" t="s">
        <v>77</v>
      </c>
      <c r="AZ136" s="121"/>
      <c r="BA136" s="121"/>
      <c r="BB136" s="121"/>
      <c r="BC136" s="121"/>
      <c r="BD136" s="121"/>
      <c r="BE136" s="121"/>
      <c r="BF136" s="121"/>
    </row>
    <row r="137" spans="51:58" x14ac:dyDescent="0.25">
      <c r="AY137" s="121" t="s">
        <v>78</v>
      </c>
      <c r="AZ137" s="121"/>
      <c r="BA137" s="121"/>
      <c r="BB137" s="121"/>
      <c r="BC137" s="121"/>
      <c r="BD137" s="121"/>
      <c r="BE137" s="121"/>
      <c r="BF137" s="121"/>
    </row>
    <row r="138" spans="51:58" x14ac:dyDescent="0.25">
      <c r="AY138" s="121" t="s">
        <v>79</v>
      </c>
      <c r="AZ138" s="121"/>
      <c r="BA138" s="121"/>
      <c r="BB138" s="121"/>
      <c r="BC138" s="121"/>
      <c r="BD138" s="121"/>
      <c r="BE138" s="121"/>
      <c r="BF138" s="121"/>
    </row>
    <row r="139" spans="51:58" x14ac:dyDescent="0.25">
      <c r="AY139" s="121"/>
      <c r="AZ139" s="121"/>
      <c r="BA139" s="121"/>
      <c r="BB139" s="121"/>
      <c r="BC139" s="121"/>
      <c r="BD139" s="121"/>
      <c r="BE139" s="121"/>
      <c r="BF139" s="121"/>
    </row>
    <row r="140" spans="51:58" x14ac:dyDescent="0.25">
      <c r="AY140" s="121" t="s">
        <v>49</v>
      </c>
      <c r="AZ140" s="121"/>
      <c r="BA140" s="121"/>
      <c r="BB140" s="121"/>
      <c r="BC140" s="121"/>
      <c r="BD140" s="121"/>
      <c r="BE140" s="121"/>
      <c r="BF140" s="121"/>
    </row>
    <row r="141" spans="51:58" x14ac:dyDescent="0.25">
      <c r="AY141" s="121" t="s">
        <v>178</v>
      </c>
      <c r="AZ141" s="121"/>
      <c r="BA141" s="121"/>
      <c r="BB141" s="121"/>
      <c r="BC141" s="121"/>
      <c r="BD141" s="121"/>
      <c r="BE141" s="121"/>
      <c r="BF141" s="121"/>
    </row>
    <row r="142" spans="51:58" x14ac:dyDescent="0.25">
      <c r="AY142" s="121" t="s">
        <v>50</v>
      </c>
      <c r="AZ142" s="121"/>
      <c r="BA142" s="121"/>
      <c r="BB142" s="121"/>
      <c r="BC142" s="121"/>
      <c r="BD142" s="121"/>
      <c r="BE142" s="121"/>
      <c r="BF142" s="121"/>
    </row>
    <row r="143" spans="51:58" x14ac:dyDescent="0.25">
      <c r="AY143" s="121" t="s">
        <v>51</v>
      </c>
      <c r="AZ143" s="121"/>
      <c r="BA143" s="121"/>
      <c r="BB143" s="121"/>
      <c r="BC143" s="121"/>
      <c r="BD143" s="121"/>
      <c r="BE143" s="121"/>
      <c r="BF143" s="121"/>
    </row>
    <row r="144" spans="51:58" x14ac:dyDescent="0.25">
      <c r="AY144" s="121" t="s">
        <v>52</v>
      </c>
      <c r="AZ144" s="121"/>
      <c r="BA144" s="121"/>
      <c r="BB144" s="121"/>
      <c r="BC144" s="121"/>
      <c r="BD144" s="121"/>
      <c r="BE144" s="121"/>
      <c r="BF144" s="121"/>
    </row>
    <row r="145" spans="51:58" x14ac:dyDescent="0.25">
      <c r="AY145" s="121" t="s">
        <v>53</v>
      </c>
      <c r="AZ145" s="121"/>
      <c r="BA145" s="121"/>
      <c r="BB145" s="121"/>
      <c r="BC145" s="121"/>
      <c r="BD145" s="121"/>
      <c r="BE145" s="121"/>
      <c r="BF145" s="121"/>
    </row>
    <row r="146" spans="51:58" x14ac:dyDescent="0.25">
      <c r="AY146" s="121"/>
      <c r="AZ146" s="121"/>
      <c r="BA146" s="121"/>
      <c r="BB146" s="121"/>
      <c r="BC146" s="121"/>
      <c r="BD146" s="121"/>
      <c r="BE146" s="121"/>
      <c r="BF146" s="121"/>
    </row>
    <row r="147" spans="51:58" x14ac:dyDescent="0.25">
      <c r="AY147" s="121" t="str">
        <f>"Spessore base (mm) "&amp;BN15</f>
        <v>Spessore base (mm) • min 18 mm</v>
      </c>
      <c r="AZ147" s="121"/>
      <c r="BA147" s="121"/>
      <c r="BB147" s="121"/>
      <c r="BC147" s="121"/>
      <c r="BD147" s="121"/>
      <c r="BE147" s="121"/>
      <c r="BF147" s="121"/>
    </row>
    <row r="148" spans="51:58" x14ac:dyDescent="0.25">
      <c r="AY148" s="121" t="str">
        <f>"Bottom panel thickness (mm) "&amp;BN15</f>
        <v>Bottom panel thickness (mm) • min 18 mm</v>
      </c>
      <c r="AZ148" s="121"/>
      <c r="BA148" s="121"/>
      <c r="BB148" s="121"/>
      <c r="BC148" s="121"/>
      <c r="BD148" s="121"/>
      <c r="BE148" s="121"/>
      <c r="BF148" s="121"/>
    </row>
    <row r="149" spans="51:58" x14ac:dyDescent="0.25">
      <c r="AY149" s="121" t="str">
        <f>"Stärke Unterboden (mm) "&amp;BN15</f>
        <v>Stärke Unterboden (mm) • min 18 mm</v>
      </c>
      <c r="AZ149" s="121"/>
      <c r="BA149" s="121"/>
      <c r="BB149" s="121"/>
      <c r="BC149" s="121"/>
      <c r="BD149" s="121"/>
      <c r="BE149" s="121"/>
      <c r="BF149" s="121"/>
    </row>
    <row r="150" spans="51:58" x14ac:dyDescent="0.25">
      <c r="AY150" s="121" t="str">
        <f>"Epaisseur panneau bas (mm) "&amp;BN15</f>
        <v>Epaisseur panneau bas (mm) • min 18 mm</v>
      </c>
      <c r="AZ150" s="121"/>
      <c r="BA150" s="121"/>
      <c r="BB150" s="121"/>
      <c r="BC150" s="121"/>
      <c r="BD150" s="121"/>
      <c r="BE150" s="121"/>
      <c r="BF150" s="121"/>
    </row>
    <row r="151" spans="51:58" x14ac:dyDescent="0.25">
      <c r="AY151" s="121" t="str">
        <f>"Espessura da base (mm) "&amp;BN15</f>
        <v>Espessura da base (mm) • min 18 mm</v>
      </c>
      <c r="AZ151" s="121"/>
      <c r="BA151" s="121"/>
      <c r="BB151" s="121"/>
      <c r="BC151" s="121"/>
      <c r="BD151" s="121"/>
      <c r="BE151" s="121"/>
      <c r="BF151" s="121"/>
    </row>
    <row r="152" spans="51:58" x14ac:dyDescent="0.25">
      <c r="AY152" s="121" t="str">
        <f>"Espesor panel base (mm) "&amp;BN15</f>
        <v>Espesor panel base (mm) • min 18 mm</v>
      </c>
      <c r="AZ152" s="121"/>
      <c r="BA152" s="121"/>
      <c r="BB152" s="121"/>
      <c r="BC152" s="121"/>
      <c r="BD152" s="121"/>
      <c r="BE152" s="121"/>
      <c r="BF152" s="121"/>
    </row>
    <row r="153" spans="51:58" x14ac:dyDescent="0.25">
      <c r="AY153" s="121"/>
      <c r="AZ153" s="121"/>
      <c r="BA153" s="121"/>
      <c r="BB153" s="121"/>
      <c r="BC153" s="121"/>
      <c r="BD153" s="121"/>
      <c r="BE153" s="121"/>
      <c r="BF153" s="121"/>
    </row>
    <row r="154" spans="51:58" x14ac:dyDescent="0.25">
      <c r="AY154" s="121" t="s">
        <v>218</v>
      </c>
      <c r="AZ154" s="121"/>
      <c r="BA154" s="121"/>
      <c r="BB154" s="121"/>
      <c r="BC154" s="121"/>
      <c r="BD154" s="121"/>
      <c r="BE154" s="121"/>
      <c r="BF154" s="121"/>
    </row>
    <row r="155" spans="51:58" x14ac:dyDescent="0.25">
      <c r="AY155" s="121" t="s">
        <v>223</v>
      </c>
      <c r="AZ155" s="121"/>
      <c r="BA155" s="121"/>
      <c r="BB155" s="121"/>
      <c r="BC155" s="121"/>
      <c r="BD155" s="121"/>
      <c r="BE155" s="121"/>
      <c r="BF155" s="121"/>
    </row>
    <row r="156" spans="51:58" x14ac:dyDescent="0.25">
      <c r="AY156" s="121" t="s">
        <v>219</v>
      </c>
      <c r="AZ156" s="121"/>
      <c r="BA156" s="121"/>
      <c r="BB156" s="121"/>
      <c r="BC156" s="121"/>
      <c r="BD156" s="121"/>
      <c r="BE156" s="121"/>
      <c r="BF156" s="121"/>
    </row>
    <row r="157" spans="51:58" x14ac:dyDescent="0.25">
      <c r="AY157" s="121" t="s">
        <v>220</v>
      </c>
      <c r="AZ157" s="121"/>
      <c r="BA157" s="121"/>
      <c r="BB157" s="121"/>
      <c r="BC157" s="121"/>
      <c r="BD157" s="121"/>
      <c r="BE157" s="121"/>
      <c r="BF157" s="121"/>
    </row>
    <row r="158" spans="51:58" x14ac:dyDescent="0.25">
      <c r="AY158" s="121" t="s">
        <v>221</v>
      </c>
      <c r="AZ158" s="121"/>
      <c r="BA158" s="121"/>
      <c r="BB158" s="121"/>
      <c r="BC158" s="121"/>
      <c r="BD158" s="121"/>
      <c r="BE158" s="121"/>
      <c r="BF158" s="121"/>
    </row>
    <row r="159" spans="51:58" x14ac:dyDescent="0.25">
      <c r="AY159" s="121" t="s">
        <v>222</v>
      </c>
      <c r="AZ159" s="121"/>
      <c r="BA159" s="121"/>
      <c r="BB159" s="121"/>
      <c r="BC159" s="121"/>
      <c r="BD159" s="121"/>
      <c r="BE159" s="121"/>
      <c r="BF159" s="121"/>
    </row>
    <row r="160" spans="51:58" x14ac:dyDescent="0.25">
      <c r="AY160" s="121"/>
      <c r="AZ160" s="121"/>
      <c r="BA160" s="121"/>
      <c r="BB160" s="121"/>
      <c r="BC160" s="121"/>
      <c r="BD160" s="121"/>
      <c r="BE160" s="121"/>
      <c r="BF160" s="121"/>
    </row>
    <row r="161" spans="51:58" x14ac:dyDescent="0.25">
      <c r="AY161" s="121" t="s">
        <v>224</v>
      </c>
      <c r="AZ161" s="121"/>
      <c r="BA161" s="121"/>
      <c r="BB161" s="121"/>
      <c r="BC161" s="121"/>
      <c r="BD161" s="121"/>
      <c r="BE161" s="121"/>
      <c r="BF161" s="121"/>
    </row>
    <row r="162" spans="51:58" x14ac:dyDescent="0.25">
      <c r="AY162" s="121" t="s">
        <v>225</v>
      </c>
      <c r="AZ162" s="121"/>
      <c r="BA162" s="121"/>
      <c r="BB162" s="121"/>
      <c r="BC162" s="121"/>
      <c r="BD162" s="121"/>
      <c r="BE162" s="121"/>
      <c r="BF162" s="121"/>
    </row>
    <row r="163" spans="51:58" x14ac:dyDescent="0.25">
      <c r="AY163" s="121" t="s">
        <v>226</v>
      </c>
      <c r="AZ163" s="121"/>
      <c r="BA163" s="121"/>
      <c r="BB163" s="121"/>
      <c r="BC163" s="121"/>
      <c r="BD163" s="121"/>
      <c r="BE163" s="121"/>
      <c r="BF163" s="121"/>
    </row>
    <row r="164" spans="51:58" x14ac:dyDescent="0.25">
      <c r="AY164" s="121" t="s">
        <v>227</v>
      </c>
      <c r="AZ164" s="121"/>
      <c r="BA164" s="121"/>
      <c r="BB164" s="121"/>
      <c r="BC164" s="121"/>
      <c r="BD164" s="121"/>
      <c r="BE164" s="121"/>
      <c r="BF164" s="121"/>
    </row>
    <row r="165" spans="51:58" x14ac:dyDescent="0.25">
      <c r="AY165" s="121" t="s">
        <v>228</v>
      </c>
      <c r="AZ165" s="121"/>
      <c r="BA165" s="121"/>
      <c r="BB165" s="121"/>
      <c r="BC165" s="121"/>
      <c r="BD165" s="121"/>
      <c r="BE165" s="121"/>
      <c r="BF165" s="121"/>
    </row>
    <row r="166" spans="51:58" x14ac:dyDescent="0.25">
      <c r="AY166" s="121" t="s">
        <v>229</v>
      </c>
      <c r="AZ166" s="121"/>
      <c r="BA166" s="121"/>
      <c r="BB166" s="121"/>
      <c r="BC166" s="121"/>
      <c r="BD166" s="121"/>
      <c r="BE166" s="121"/>
      <c r="BF166" s="121"/>
    </row>
    <row r="167" spans="51:58" x14ac:dyDescent="0.25">
      <c r="AY167" s="121"/>
      <c r="AZ167" s="121"/>
      <c r="BA167" s="121"/>
      <c r="BB167" s="121"/>
      <c r="BC167" s="121"/>
      <c r="BD167" s="121"/>
      <c r="BE167" s="121"/>
      <c r="BF167" s="121"/>
    </row>
    <row r="168" spans="51:58" x14ac:dyDescent="0.25">
      <c r="AY168" s="121" t="s">
        <v>54</v>
      </c>
      <c r="AZ168" s="121"/>
      <c r="BA168" s="121"/>
      <c r="BB168" s="121"/>
      <c r="BC168" s="121"/>
      <c r="BD168" s="121"/>
      <c r="BE168" s="121"/>
      <c r="BF168" s="121"/>
    </row>
    <row r="169" spans="51:58" x14ac:dyDescent="0.25">
      <c r="AY169" s="121" t="s">
        <v>55</v>
      </c>
      <c r="AZ169" s="121"/>
      <c r="BA169" s="121"/>
      <c r="BB169" s="121"/>
      <c r="BC169" s="121"/>
      <c r="BD169" s="121"/>
      <c r="BE169" s="121"/>
      <c r="BF169" s="121"/>
    </row>
    <row r="170" spans="51:58" x14ac:dyDescent="0.25">
      <c r="AY170" s="121" t="s">
        <v>56</v>
      </c>
      <c r="AZ170" s="121"/>
      <c r="BA170" s="121"/>
      <c r="BB170" s="121"/>
      <c r="BC170" s="121"/>
      <c r="BD170" s="121"/>
      <c r="BE170" s="121"/>
      <c r="BF170" s="121"/>
    </row>
    <row r="171" spans="51:58" x14ac:dyDescent="0.25">
      <c r="AY171" s="121" t="s">
        <v>319</v>
      </c>
      <c r="AZ171" s="121"/>
      <c r="BA171" s="121"/>
      <c r="BB171" s="121"/>
      <c r="BC171" s="121"/>
      <c r="BD171" s="121"/>
      <c r="BE171" s="121"/>
      <c r="BF171" s="121"/>
    </row>
    <row r="172" spans="51:58" x14ac:dyDescent="0.25">
      <c r="AY172" s="121" t="s">
        <v>57</v>
      </c>
      <c r="AZ172" s="121"/>
      <c r="BA172" s="121"/>
      <c r="BB172" s="121"/>
      <c r="BC172" s="121"/>
      <c r="BD172" s="121"/>
      <c r="BE172" s="121"/>
      <c r="BF172" s="121"/>
    </row>
    <row r="173" spans="51:58" x14ac:dyDescent="0.25">
      <c r="AY173" s="121" t="s">
        <v>58</v>
      </c>
      <c r="AZ173" s="121"/>
      <c r="BA173" s="121"/>
      <c r="BB173" s="121"/>
      <c r="BC173" s="121"/>
      <c r="BD173" s="121"/>
      <c r="BE173" s="121"/>
      <c r="BF173" s="121"/>
    </row>
    <row r="174" spans="51:58" x14ac:dyDescent="0.25">
      <c r="AY174" s="121"/>
      <c r="AZ174" s="121"/>
      <c r="BA174" s="121"/>
      <c r="BB174" s="121"/>
      <c r="BC174" s="121"/>
      <c r="BD174" s="121"/>
      <c r="BE174" s="121"/>
      <c r="BF174" s="121"/>
    </row>
    <row r="175" spans="51:58" x14ac:dyDescent="0.25">
      <c r="AY175" s="121" t="s">
        <v>59</v>
      </c>
      <c r="AZ175" s="121"/>
      <c r="BA175" s="121"/>
      <c r="BB175" s="121"/>
      <c r="BC175" s="121"/>
      <c r="BD175" s="121"/>
      <c r="BE175" s="121"/>
      <c r="BF175" s="121"/>
    </row>
    <row r="176" spans="51:58" x14ac:dyDescent="0.25">
      <c r="AY176" s="121" t="s">
        <v>60</v>
      </c>
      <c r="AZ176" s="121"/>
      <c r="BA176" s="121"/>
      <c r="BB176" s="121"/>
      <c r="BC176" s="121"/>
      <c r="BD176" s="121"/>
      <c r="BE176" s="121"/>
      <c r="BF176" s="121"/>
    </row>
    <row r="177" spans="51:58" x14ac:dyDescent="0.25">
      <c r="AY177" s="121" t="s">
        <v>61</v>
      </c>
      <c r="AZ177" s="121"/>
      <c r="BA177" s="121"/>
      <c r="BB177" s="121"/>
      <c r="BC177" s="121"/>
      <c r="BD177" s="121"/>
      <c r="BE177" s="121"/>
      <c r="BF177" s="121"/>
    </row>
    <row r="178" spans="51:58" x14ac:dyDescent="0.25">
      <c r="AY178" s="121" t="s">
        <v>62</v>
      </c>
      <c r="AZ178" s="121"/>
      <c r="BA178" s="121"/>
      <c r="BB178" s="121"/>
      <c r="BC178" s="121"/>
      <c r="BD178" s="121"/>
      <c r="BE178" s="121"/>
      <c r="BF178" s="121"/>
    </row>
    <row r="179" spans="51:58" x14ac:dyDescent="0.25">
      <c r="AY179" s="121" t="s">
        <v>63</v>
      </c>
      <c r="AZ179" s="121"/>
      <c r="BA179" s="121"/>
      <c r="BB179" s="121"/>
      <c r="BC179" s="121"/>
      <c r="BD179" s="121"/>
      <c r="BE179" s="121"/>
      <c r="BF179" s="121"/>
    </row>
    <row r="180" spans="51:58" x14ac:dyDescent="0.25">
      <c r="AY180" s="121" t="s">
        <v>64</v>
      </c>
      <c r="AZ180" s="121"/>
      <c r="BA180" s="121"/>
      <c r="BB180" s="121"/>
      <c r="BC180" s="121"/>
      <c r="BD180" s="121"/>
      <c r="BE180" s="121"/>
      <c r="BF180" s="121"/>
    </row>
    <row r="181" spans="51:58" x14ac:dyDescent="0.25">
      <c r="AY181" s="121"/>
      <c r="AZ181" s="121"/>
      <c r="BA181" s="121"/>
      <c r="BB181" s="121"/>
      <c r="BC181" s="121"/>
      <c r="BD181" s="121"/>
      <c r="BE181" s="121"/>
      <c r="BF181" s="121"/>
    </row>
    <row r="182" spans="51:58" x14ac:dyDescent="0.25">
      <c r="AY182" s="121" t="s">
        <v>320</v>
      </c>
      <c r="AZ182" s="121"/>
      <c r="BA182" s="121"/>
      <c r="BB182" s="121"/>
      <c r="BC182" s="121"/>
      <c r="BD182" s="121"/>
      <c r="BE182" s="121"/>
      <c r="BF182" s="121"/>
    </row>
    <row r="183" spans="51:58" x14ac:dyDescent="0.25">
      <c r="AY183" s="121" t="s">
        <v>321</v>
      </c>
      <c r="AZ183" s="121"/>
      <c r="BA183" s="121"/>
      <c r="BB183" s="121"/>
      <c r="BC183" s="121"/>
      <c r="BD183" s="121"/>
      <c r="BE183" s="121"/>
      <c r="BF183" s="121"/>
    </row>
    <row r="184" spans="51:58" x14ac:dyDescent="0.25">
      <c r="AY184" s="121" t="s">
        <v>322</v>
      </c>
      <c r="AZ184" s="121"/>
      <c r="BA184" s="121"/>
      <c r="BB184" s="121"/>
      <c r="BC184" s="121"/>
      <c r="BD184" s="121"/>
      <c r="BE184" s="121"/>
      <c r="BF184" s="121"/>
    </row>
    <row r="185" spans="51:58" x14ac:dyDescent="0.25">
      <c r="AY185" s="121" t="s">
        <v>323</v>
      </c>
      <c r="AZ185" s="121"/>
      <c r="BA185" s="121"/>
      <c r="BB185" s="121"/>
      <c r="BC185" s="121"/>
      <c r="BD185" s="121"/>
      <c r="BE185" s="121"/>
      <c r="BF185" s="121"/>
    </row>
    <row r="186" spans="51:58" x14ac:dyDescent="0.25">
      <c r="AY186" s="121" t="s">
        <v>324</v>
      </c>
      <c r="AZ186" s="121"/>
      <c r="BA186" s="121"/>
      <c r="BB186" s="121"/>
      <c r="BC186" s="121"/>
      <c r="BD186" s="121"/>
      <c r="BE186" s="121"/>
      <c r="BF186" s="121"/>
    </row>
    <row r="187" spans="51:58" x14ac:dyDescent="0.25">
      <c r="AY187" s="121" t="s">
        <v>325</v>
      </c>
      <c r="AZ187" s="121"/>
      <c r="BA187" s="121"/>
      <c r="BB187" s="121"/>
      <c r="BC187" s="121"/>
      <c r="BD187" s="121"/>
      <c r="BE187" s="121"/>
      <c r="BF187" s="121"/>
    </row>
    <row r="188" spans="51:58" x14ac:dyDescent="0.25">
      <c r="AY188" s="121"/>
      <c r="AZ188" s="121"/>
      <c r="BA188" s="121"/>
      <c r="BB188" s="121"/>
      <c r="BC188" s="121"/>
      <c r="BD188" s="121"/>
      <c r="BE188" s="121"/>
      <c r="BF188" s="121"/>
    </row>
    <row r="189" spans="51:58" x14ac:dyDescent="0.25">
      <c r="AY189" s="121" t="str">
        <f>"Altezza da terra dell'anta • min "&amp;BF19&amp;" mm"</f>
        <v>Altezza da terra dell'anta • min recommended 17 mm</v>
      </c>
      <c r="AZ189" s="121"/>
      <c r="BA189" s="121"/>
      <c r="BB189" s="121"/>
      <c r="BC189" s="121"/>
      <c r="BD189" s="121"/>
      <c r="BE189" s="121"/>
      <c r="BF189" s="121"/>
    </row>
    <row r="190" spans="51:58" x14ac:dyDescent="0.25">
      <c r="AY190" s="121" t="str">
        <f>"Door distance from the floor - min "&amp;BF19&amp;" mm"</f>
        <v>Door distance from the floor - min recommended 17 mm</v>
      </c>
      <c r="AZ190" s="121"/>
      <c r="BA190" s="121"/>
      <c r="BB190" s="121"/>
      <c r="BC190" s="121"/>
      <c r="BD190" s="121"/>
      <c r="BE190" s="121"/>
      <c r="BF190" s="121"/>
    </row>
    <row r="191" spans="51:58" x14ac:dyDescent="0.25">
      <c r="AY191" s="121" t="str">
        <f>"Abstand der Tür vom Boden - min "&amp;BF19&amp;" mm"</f>
        <v>Abstand der Tür vom Boden - min recommended 17 mm</v>
      </c>
      <c r="AZ191" s="121"/>
      <c r="BA191" s="121"/>
      <c r="BB191" s="121"/>
      <c r="BC191" s="121"/>
      <c r="BD191" s="121"/>
      <c r="BE191" s="121"/>
      <c r="BF191" s="121"/>
    </row>
    <row r="192" spans="51:58" x14ac:dyDescent="0.25">
      <c r="AY192" s="121" t="str">
        <f>"Distance de la porte par rapport au sol - min "&amp;BF19&amp;" mm"</f>
        <v>Distance de la porte par rapport au sol - min recommended 17 mm</v>
      </c>
      <c r="AZ192" s="121"/>
      <c r="BA192" s="121"/>
      <c r="BB192" s="121"/>
      <c r="BC192" s="121"/>
      <c r="BD192" s="121"/>
      <c r="BE192" s="121"/>
      <c r="BF192" s="121"/>
    </row>
    <row r="193" spans="51:58" x14ac:dyDescent="0.25">
      <c r="AY193" s="121" t="str">
        <f>"Distância da porta ao chão - min "&amp;BF19&amp;" mm"</f>
        <v>Distância da porta ao chão - min recommended 17 mm</v>
      </c>
      <c r="AZ193" s="121"/>
      <c r="BA193" s="121"/>
      <c r="BB193" s="121"/>
      <c r="BC193" s="121"/>
      <c r="BD193" s="121"/>
      <c r="BE193" s="121"/>
      <c r="BF193" s="121"/>
    </row>
    <row r="194" spans="51:58" x14ac:dyDescent="0.25">
      <c r="AY194" s="121" t="str">
        <f>"Distancia de la puerta al suelo - mín. "&amp;BF19&amp;" mm"</f>
        <v>Distancia de la puerta al suelo - mín. recommended 17 mm</v>
      </c>
      <c r="AZ194" s="121"/>
      <c r="BA194" s="121"/>
      <c r="BB194" s="121"/>
      <c r="BC194" s="121"/>
      <c r="BD194" s="121"/>
      <c r="BE194" s="121"/>
      <c r="BF194" s="121"/>
    </row>
    <row r="195" spans="51:58" x14ac:dyDescent="0.25">
      <c r="AY195" s="121"/>
      <c r="AZ195" s="121"/>
      <c r="BA195" s="121"/>
      <c r="BB195" s="121"/>
      <c r="BC195" s="121"/>
      <c r="BD195" s="121"/>
      <c r="BE195" s="121"/>
      <c r="BF195" s="121"/>
    </row>
    <row r="196" spans="51:58" x14ac:dyDescent="0.25">
      <c r="AY196" s="121" t="s">
        <v>80</v>
      </c>
      <c r="AZ196" s="121"/>
      <c r="BA196" s="121"/>
      <c r="BB196" s="121"/>
      <c r="BC196" s="121"/>
      <c r="BD196" s="121"/>
      <c r="BE196" s="121"/>
      <c r="BF196" s="121"/>
    </row>
    <row r="197" spans="51:58" x14ac:dyDescent="0.25">
      <c r="AY197" s="121" t="s">
        <v>81</v>
      </c>
      <c r="AZ197" s="121"/>
      <c r="BA197" s="121"/>
      <c r="BB197" s="121"/>
      <c r="BC197" s="121"/>
      <c r="BD197" s="121"/>
      <c r="BE197" s="121"/>
      <c r="BF197" s="121"/>
    </row>
    <row r="198" spans="51:58" x14ac:dyDescent="0.25">
      <c r="AY198" s="121" t="s">
        <v>242</v>
      </c>
      <c r="AZ198" s="121"/>
      <c r="BA198" s="121"/>
      <c r="BB198" s="121"/>
      <c r="BC198" s="121"/>
      <c r="BD198" s="121"/>
      <c r="BE198" s="121"/>
      <c r="BF198" s="121"/>
    </row>
    <row r="199" spans="51:58" x14ac:dyDescent="0.25">
      <c r="AY199" s="121" t="s">
        <v>260</v>
      </c>
      <c r="AZ199" s="121"/>
      <c r="BA199" s="121"/>
      <c r="BB199" s="121"/>
      <c r="BC199" s="121"/>
      <c r="BD199" s="121"/>
      <c r="BE199" s="121"/>
      <c r="BF199" s="121"/>
    </row>
    <row r="200" spans="51:58" x14ac:dyDescent="0.25">
      <c r="AY200" s="121" t="s">
        <v>276</v>
      </c>
      <c r="AZ200" s="121"/>
      <c r="BA200" s="121"/>
      <c r="BB200" s="121"/>
      <c r="BC200" s="121"/>
      <c r="BD200" s="121"/>
      <c r="BE200" s="121"/>
      <c r="BF200" s="121"/>
    </row>
    <row r="201" spans="51:58" x14ac:dyDescent="0.25">
      <c r="AY201" s="121" t="s">
        <v>294</v>
      </c>
      <c r="AZ201" s="121"/>
      <c r="BA201" s="121"/>
      <c r="BB201" s="121"/>
      <c r="BC201" s="121"/>
      <c r="BD201" s="121"/>
      <c r="BE201" s="121"/>
      <c r="BF201" s="121"/>
    </row>
    <row r="202" spans="51:58" x14ac:dyDescent="0.25">
      <c r="AY202" s="121"/>
      <c r="AZ202" s="121"/>
      <c r="BA202" s="121"/>
      <c r="BB202" s="121"/>
      <c r="BC202" s="121"/>
      <c r="BD202" s="121"/>
      <c r="BE202" s="121"/>
      <c r="BF202" s="121"/>
    </row>
    <row r="203" spans="51:58" x14ac:dyDescent="0.25">
      <c r="AY203" s="121" t="s">
        <v>82</v>
      </c>
      <c r="AZ203" s="121"/>
      <c r="BA203" s="121"/>
      <c r="BB203" s="121"/>
      <c r="BC203" s="121"/>
      <c r="BD203" s="121"/>
      <c r="BE203" s="121"/>
      <c r="BF203" s="121"/>
    </row>
    <row r="204" spans="51:58" x14ac:dyDescent="0.25">
      <c r="AY204" s="121" t="s">
        <v>179</v>
      </c>
      <c r="AZ204" s="121"/>
      <c r="BA204" s="121"/>
      <c r="BB204" s="121"/>
      <c r="BC204" s="121"/>
      <c r="BD204" s="121"/>
      <c r="BE204" s="121"/>
      <c r="BF204" s="121"/>
    </row>
    <row r="205" spans="51:58" x14ac:dyDescent="0.25">
      <c r="AY205" s="121" t="s">
        <v>243</v>
      </c>
      <c r="AZ205" s="121"/>
      <c r="BA205" s="121"/>
      <c r="BB205" s="121"/>
      <c r="BC205" s="121"/>
      <c r="BD205" s="121"/>
      <c r="BE205" s="121"/>
      <c r="BF205" s="121"/>
    </row>
    <row r="206" spans="51:58" x14ac:dyDescent="0.25">
      <c r="AY206" s="121" t="s">
        <v>326</v>
      </c>
      <c r="AZ206" s="121"/>
      <c r="BA206" s="121"/>
      <c r="BB206" s="121"/>
      <c r="BC206" s="121"/>
      <c r="BD206" s="121"/>
      <c r="BE206" s="121"/>
      <c r="BF206" s="121"/>
    </row>
    <row r="207" spans="51:58" x14ac:dyDescent="0.25">
      <c r="AY207" s="121" t="s">
        <v>277</v>
      </c>
      <c r="AZ207" s="121"/>
      <c r="BA207" s="121"/>
      <c r="BB207" s="121"/>
      <c r="BC207" s="121"/>
      <c r="BD207" s="121"/>
      <c r="BE207" s="121"/>
      <c r="BF207" s="121"/>
    </row>
    <row r="208" spans="51:58" x14ac:dyDescent="0.25">
      <c r="AY208" s="121" t="s">
        <v>295</v>
      </c>
      <c r="AZ208" s="121"/>
      <c r="BA208" s="121"/>
      <c r="BB208" s="121"/>
      <c r="BC208" s="121"/>
      <c r="BD208" s="121"/>
      <c r="BE208" s="121"/>
      <c r="BF208" s="121"/>
    </row>
    <row r="209" spans="51:58" x14ac:dyDescent="0.25">
      <c r="AY209" s="121"/>
      <c r="AZ209" s="121"/>
      <c r="BA209" s="121"/>
      <c r="BB209" s="121"/>
      <c r="BC209" s="121"/>
      <c r="BD209" s="121"/>
      <c r="BE209" s="121"/>
      <c r="BF209" s="121"/>
    </row>
    <row r="210" spans="51:58" x14ac:dyDescent="0.25">
      <c r="AY210" s="121" t="s">
        <v>103</v>
      </c>
      <c r="AZ210" s="121"/>
      <c r="BA210" s="121"/>
      <c r="BB210" s="121"/>
      <c r="BC210" s="121"/>
      <c r="BD210" s="121"/>
      <c r="BE210" s="121"/>
      <c r="BF210" s="121"/>
    </row>
    <row r="211" spans="51:58" x14ac:dyDescent="0.25">
      <c r="AY211" s="121" t="s">
        <v>175</v>
      </c>
      <c r="AZ211" s="121"/>
      <c r="BA211" s="121"/>
      <c r="BB211" s="121"/>
      <c r="BC211" s="121"/>
      <c r="BD211" s="121"/>
      <c r="BE211" s="121"/>
      <c r="BF211" s="121"/>
    </row>
    <row r="212" spans="51:58" x14ac:dyDescent="0.25">
      <c r="AY212" s="121" t="s">
        <v>244</v>
      </c>
      <c r="AZ212" s="121"/>
      <c r="BA212" s="121"/>
      <c r="BB212" s="121"/>
      <c r="BC212" s="121"/>
      <c r="BD212" s="121"/>
      <c r="BE212" s="121"/>
      <c r="BF212" s="121"/>
    </row>
    <row r="213" spans="51:58" x14ac:dyDescent="0.25">
      <c r="AY213" s="121" t="s">
        <v>261</v>
      </c>
      <c r="AZ213" s="121"/>
      <c r="BA213" s="121"/>
      <c r="BB213" s="121"/>
      <c r="BC213" s="121"/>
      <c r="BD213" s="121"/>
      <c r="BE213" s="121"/>
      <c r="BF213" s="121"/>
    </row>
    <row r="214" spans="51:58" x14ac:dyDescent="0.25">
      <c r="AY214" s="121" t="s">
        <v>278</v>
      </c>
      <c r="AZ214" s="121"/>
      <c r="BA214" s="121"/>
      <c r="BB214" s="121"/>
      <c r="BC214" s="121"/>
      <c r="BD214" s="121"/>
      <c r="BE214" s="121"/>
      <c r="BF214" s="121"/>
    </row>
    <row r="215" spans="51:58" x14ac:dyDescent="0.25">
      <c r="AY215" s="121" t="s">
        <v>296</v>
      </c>
      <c r="AZ215" s="121"/>
      <c r="BA215" s="121"/>
      <c r="BB215" s="121"/>
      <c r="BC215" s="121"/>
      <c r="BD215" s="121"/>
      <c r="BE215" s="121"/>
      <c r="BF215" s="121"/>
    </row>
    <row r="216" spans="51:58" x14ac:dyDescent="0.25">
      <c r="AY216" s="121"/>
      <c r="AZ216" s="121"/>
      <c r="BA216" s="121"/>
      <c r="BB216" s="121"/>
      <c r="BC216" s="121"/>
      <c r="BD216" s="121"/>
      <c r="BE216" s="121"/>
      <c r="BF216" s="121"/>
    </row>
    <row r="217" spans="51:58" x14ac:dyDescent="0.25">
      <c r="AY217" s="121" t="s">
        <v>113</v>
      </c>
      <c r="AZ217" s="121"/>
      <c r="BA217" s="121"/>
      <c r="BB217" s="121"/>
      <c r="BC217" s="121"/>
      <c r="BD217" s="121"/>
      <c r="BE217" s="121"/>
      <c r="BF217" s="121"/>
    </row>
    <row r="218" spans="51:58" x14ac:dyDescent="0.25">
      <c r="AY218" s="121" t="s">
        <v>112</v>
      </c>
      <c r="AZ218" s="121"/>
      <c r="BA218" s="121"/>
      <c r="BB218" s="121"/>
      <c r="BC218" s="121"/>
      <c r="BD218" s="121"/>
      <c r="BE218" s="121"/>
      <c r="BF218" s="121"/>
    </row>
    <row r="219" spans="51:58" x14ac:dyDescent="0.25">
      <c r="AY219" s="121" t="s">
        <v>245</v>
      </c>
      <c r="AZ219" s="121"/>
      <c r="BA219" s="121"/>
      <c r="BB219" s="121"/>
      <c r="BC219" s="121"/>
      <c r="BD219" s="121"/>
      <c r="BE219" s="121"/>
      <c r="BF219" s="121"/>
    </row>
    <row r="220" spans="51:58" x14ac:dyDescent="0.25">
      <c r="AY220" s="121" t="s">
        <v>327</v>
      </c>
      <c r="AZ220" s="121"/>
      <c r="BA220" s="121"/>
      <c r="BB220" s="121"/>
      <c r="BC220" s="121"/>
      <c r="BD220" s="121"/>
      <c r="BE220" s="121"/>
      <c r="BF220" s="121"/>
    </row>
    <row r="221" spans="51:58" x14ac:dyDescent="0.25">
      <c r="AY221" s="121" t="s">
        <v>279</v>
      </c>
      <c r="AZ221" s="121"/>
      <c r="BA221" s="121"/>
      <c r="BB221" s="121"/>
      <c r="BC221" s="121"/>
      <c r="BD221" s="121"/>
      <c r="BE221" s="121"/>
      <c r="BF221" s="121"/>
    </row>
    <row r="222" spans="51:58" x14ac:dyDescent="0.25">
      <c r="AY222" s="121" t="s">
        <v>297</v>
      </c>
      <c r="AZ222" s="121"/>
      <c r="BA222" s="121"/>
      <c r="BB222" s="121"/>
      <c r="BC222" s="121"/>
      <c r="BD222" s="121"/>
      <c r="BE222" s="121"/>
      <c r="BF222" s="121"/>
    </row>
    <row r="223" spans="51:58" x14ac:dyDescent="0.25">
      <c r="AY223" s="121"/>
      <c r="AZ223" s="121"/>
      <c r="BA223" s="121"/>
      <c r="BB223" s="121"/>
      <c r="BC223" s="121"/>
      <c r="BD223" s="121"/>
      <c r="BE223" s="121"/>
      <c r="BF223" s="121"/>
    </row>
    <row r="224" spans="51:58" x14ac:dyDescent="0.25">
      <c r="AY224" s="121" t="s">
        <v>182</v>
      </c>
      <c r="AZ224" s="121"/>
      <c r="BA224" s="121"/>
      <c r="BB224" s="121"/>
      <c r="BC224" s="121"/>
      <c r="BD224" s="121"/>
      <c r="BE224" s="121"/>
      <c r="BF224" s="121"/>
    </row>
    <row r="225" spans="51:58" x14ac:dyDescent="0.25">
      <c r="AY225" s="122" t="s">
        <v>181</v>
      </c>
      <c r="AZ225" s="121"/>
      <c r="BA225" s="121"/>
      <c r="BB225" s="121"/>
      <c r="BC225" s="121"/>
      <c r="BD225" s="121"/>
      <c r="BE225" s="121"/>
      <c r="BF225" s="121"/>
    </row>
    <row r="226" spans="51:58" x14ac:dyDescent="0.25">
      <c r="AY226" s="121" t="s">
        <v>246</v>
      </c>
      <c r="AZ226" s="121"/>
      <c r="BA226" s="121"/>
      <c r="BB226" s="121"/>
      <c r="BC226" s="121"/>
      <c r="BD226" s="121"/>
      <c r="BE226" s="121"/>
      <c r="BF226" s="121"/>
    </row>
    <row r="227" spans="51:58" x14ac:dyDescent="0.25">
      <c r="AY227" s="121" t="s">
        <v>262</v>
      </c>
      <c r="AZ227" s="121"/>
      <c r="BA227" s="121"/>
      <c r="BB227" s="121"/>
      <c r="BC227" s="121"/>
      <c r="BD227" s="121"/>
      <c r="BE227" s="121"/>
      <c r="BF227" s="121"/>
    </row>
    <row r="228" spans="51:58" x14ac:dyDescent="0.25">
      <c r="AY228" s="121" t="s">
        <v>280</v>
      </c>
      <c r="AZ228" s="121"/>
      <c r="BA228" s="121"/>
      <c r="BB228" s="121"/>
      <c r="BC228" s="121"/>
      <c r="BD228" s="121"/>
      <c r="BE228" s="121"/>
      <c r="BF228" s="121"/>
    </row>
    <row r="229" spans="51:58" x14ac:dyDescent="0.25">
      <c r="AY229" s="121" t="s">
        <v>298</v>
      </c>
      <c r="AZ229" s="121"/>
      <c r="BA229" s="121"/>
      <c r="BB229" s="121"/>
      <c r="BC229" s="121"/>
      <c r="BD229" s="121"/>
      <c r="BE229" s="121"/>
      <c r="BF229" s="121"/>
    </row>
    <row r="231" spans="51:58" x14ac:dyDescent="0.25">
      <c r="AY231" t="s">
        <v>184</v>
      </c>
    </row>
    <row r="232" spans="51:58" x14ac:dyDescent="0.25">
      <c r="AY232" t="s">
        <v>161</v>
      </c>
    </row>
    <row r="233" spans="51:58" x14ac:dyDescent="0.25">
      <c r="AY233" t="s">
        <v>247</v>
      </c>
    </row>
    <row r="234" spans="51:58" x14ac:dyDescent="0.25">
      <c r="AY234" t="s">
        <v>263</v>
      </c>
    </row>
    <row r="235" spans="51:58" x14ac:dyDescent="0.25">
      <c r="AY235" t="s">
        <v>281</v>
      </c>
    </row>
    <row r="236" spans="51:58" x14ac:dyDescent="0.25">
      <c r="AY236" t="s">
        <v>281</v>
      </c>
    </row>
    <row r="237" spans="51:58" x14ac:dyDescent="0.25">
      <c r="AY237" t="s">
        <v>185</v>
      </c>
    </row>
    <row r="238" spans="51:58" x14ac:dyDescent="0.25">
      <c r="AY238" t="s">
        <v>118</v>
      </c>
    </row>
    <row r="239" spans="51:58" x14ac:dyDescent="0.25">
      <c r="AY239" t="s">
        <v>248</v>
      </c>
    </row>
    <row r="240" spans="51:58" x14ac:dyDescent="0.25">
      <c r="AY240" t="s">
        <v>264</v>
      </c>
    </row>
    <row r="241" spans="51:51" x14ac:dyDescent="0.25">
      <c r="AY241" t="s">
        <v>282</v>
      </c>
    </row>
    <row r="242" spans="51:51" x14ac:dyDescent="0.25">
      <c r="AY242" t="s">
        <v>185</v>
      </c>
    </row>
    <row r="244" spans="51:51" x14ac:dyDescent="0.25">
      <c r="AY244" t="s">
        <v>186</v>
      </c>
    </row>
    <row r="245" spans="51:51" x14ac:dyDescent="0.25">
      <c r="AY245" t="s">
        <v>187</v>
      </c>
    </row>
    <row r="246" spans="51:51" x14ac:dyDescent="0.25">
      <c r="AY246" t="s">
        <v>249</v>
      </c>
    </row>
    <row r="247" spans="51:51" x14ac:dyDescent="0.25">
      <c r="AY247" t="s">
        <v>265</v>
      </c>
    </row>
    <row r="248" spans="51:51" x14ac:dyDescent="0.25">
      <c r="AY248" t="s">
        <v>283</v>
      </c>
    </row>
    <row r="249" spans="51:51" x14ac:dyDescent="0.25">
      <c r="AY249" t="s">
        <v>299</v>
      </c>
    </row>
    <row r="251" spans="51:51" x14ac:dyDescent="0.25">
      <c r="AY251" t="s">
        <v>188</v>
      </c>
    </row>
    <row r="252" spans="51:51" x14ac:dyDescent="0.25">
      <c r="AY252" t="s">
        <v>134</v>
      </c>
    </row>
    <row r="253" spans="51:51" x14ac:dyDescent="0.25">
      <c r="AY253" t="s">
        <v>250</v>
      </c>
    </row>
    <row r="254" spans="51:51" x14ac:dyDescent="0.25">
      <c r="AY254" t="s">
        <v>266</v>
      </c>
    </row>
    <row r="255" spans="51:51" x14ac:dyDescent="0.25">
      <c r="AY255" t="s">
        <v>284</v>
      </c>
    </row>
    <row r="256" spans="51:51" x14ac:dyDescent="0.25">
      <c r="AY256" t="s">
        <v>300</v>
      </c>
    </row>
    <row r="258" spans="51:51" x14ac:dyDescent="0.25">
      <c r="AY258" t="s">
        <v>189</v>
      </c>
    </row>
    <row r="259" spans="51:51" x14ac:dyDescent="0.25">
      <c r="AY259" t="s">
        <v>190</v>
      </c>
    </row>
    <row r="260" spans="51:51" x14ac:dyDescent="0.25">
      <c r="AY260" t="s">
        <v>251</v>
      </c>
    </row>
    <row r="261" spans="51:51" x14ac:dyDescent="0.25">
      <c r="AY261" t="s">
        <v>267</v>
      </c>
    </row>
    <row r="262" spans="51:51" x14ac:dyDescent="0.25">
      <c r="AY262" t="s">
        <v>285</v>
      </c>
    </row>
    <row r="263" spans="51:51" x14ac:dyDescent="0.25">
      <c r="AY263" t="s">
        <v>301</v>
      </c>
    </row>
  </sheetData>
  <sheetProtection selectLockedCells="1"/>
  <mergeCells count="22">
    <mergeCell ref="BL2:BM2"/>
    <mergeCell ref="Q42:S42"/>
    <mergeCell ref="L54:N54"/>
    <mergeCell ref="V54:X54"/>
    <mergeCell ref="Q55:S55"/>
    <mergeCell ref="Z11:Z12"/>
    <mergeCell ref="Y24:Z24"/>
    <mergeCell ref="Z35:Z37"/>
    <mergeCell ref="BH11:BH12"/>
    <mergeCell ref="AF10:AG10"/>
    <mergeCell ref="L41:N41"/>
    <mergeCell ref="V41:X41"/>
    <mergeCell ref="C5:D5"/>
    <mergeCell ref="C6:D6"/>
    <mergeCell ref="C7:D7"/>
    <mergeCell ref="C8:D8"/>
    <mergeCell ref="Q8:S8"/>
    <mergeCell ref="B11:D11"/>
    <mergeCell ref="Q10:S10"/>
    <mergeCell ref="B10:D10"/>
    <mergeCell ref="AH24:AI24"/>
    <mergeCell ref="AI34:AI36"/>
  </mergeCells>
  <conditionalFormatting sqref="D38 B39:D39">
    <cfRule type="expression" dxfId="13" priority="1">
      <formula>IF($B$38="",TRUE,FALSE)</formula>
    </cfRule>
  </conditionalFormatting>
  <conditionalFormatting sqref="E28:G28">
    <cfRule type="expression" dxfId="12" priority="49">
      <formula>IF(OR(ISBLANK($D$25),ISBLANK($D$26),ISBLANK($D$27)),TRUE,FALSE)</formula>
    </cfRule>
  </conditionalFormatting>
  <conditionalFormatting sqref="F19:G19 E20:G20">
    <cfRule type="expression" dxfId="11" priority="3">
      <formula>ISBLANK($D$14)</formula>
    </cfRule>
  </conditionalFormatting>
  <dataValidations disablePrompts="1" count="4">
    <dataValidation type="list" allowBlank="1" showInputMessage="1" showErrorMessage="1" sqref="B2" xr:uid="{FACA85C6-A14C-47DD-ABAA-45DB6ABA9494}">
      <formula1>$AY$4:$AY$5</formula1>
    </dataValidation>
    <dataValidation type="decimal" operator="greaterThanOrEqual" allowBlank="1" showInputMessage="1" showErrorMessage="1" sqref="D33:D34" xr:uid="{D5D8ED4C-60DD-436D-8539-D4C245200B96}">
      <formula1>320</formula1>
    </dataValidation>
    <dataValidation type="list" allowBlank="1" showInputMessage="1" showErrorMessage="1" sqref="B10:D10" xr:uid="{37386698-F1DD-4C41-AAD1-42C1ED2492CA}">
      <formula1>$AY$27:$AY$34</formula1>
    </dataValidation>
    <dataValidation type="decimal" operator="greaterThanOrEqual" allowBlank="1" showInputMessage="1" showErrorMessage="1" sqref="D23:D28" xr:uid="{50BDB3E4-2F41-46CC-B8BF-9083D296C156}">
      <formula1>$AV$4</formula1>
    </dataValidation>
  </dataValidations>
  <pageMargins left="0.7" right="0.7" top="0.75" bottom="0.75" header="0.3" footer="0.3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4899-FAFC-4248-9403-318D5478F42E}">
  <dimension ref="A8:AT67"/>
  <sheetViews>
    <sheetView showGridLines="0" tabSelected="1" topLeftCell="A25" zoomScale="70" zoomScaleNormal="70" zoomScaleSheetLayoutView="100" workbookViewId="0">
      <selection activeCell="A32" sqref="A32:D32"/>
    </sheetView>
  </sheetViews>
  <sheetFormatPr defaultRowHeight="15" x14ac:dyDescent="0.25"/>
  <cols>
    <col min="1" max="1" width="4.7109375" customWidth="1"/>
    <col min="2" max="2" width="15.5703125" customWidth="1"/>
    <col min="3" max="3" width="85" bestFit="1" customWidth="1"/>
    <col min="4" max="4" width="9.140625" customWidth="1"/>
    <col min="5" max="5" width="4.28515625" customWidth="1"/>
    <col min="6" max="6" width="5.28515625" customWidth="1"/>
    <col min="7" max="7" width="4.42578125" style="74" customWidth="1"/>
    <col min="8" max="8" width="4.7109375" style="83" customWidth="1"/>
    <col min="9" max="9" width="4.7109375" style="89" customWidth="1"/>
    <col min="10" max="10" width="4.7109375" customWidth="1"/>
    <col min="11" max="11" width="5.140625" customWidth="1"/>
    <col min="12" max="12" width="4.7109375" customWidth="1"/>
    <col min="13" max="13" width="24.28515625" customWidth="1"/>
    <col min="14" max="45" width="4.7109375" customWidth="1"/>
    <col min="46" max="46" width="2.140625" customWidth="1"/>
    <col min="47" max="52" width="4.7109375" customWidth="1"/>
  </cols>
  <sheetData>
    <row r="8" spans="1:46" ht="12.75" customHeight="1" thickBot="1" x14ac:dyDescent="0.3"/>
    <row r="9" spans="1:46" x14ac:dyDescent="0.25">
      <c r="A9" s="26"/>
      <c r="B9" s="27"/>
      <c r="C9" s="27"/>
      <c r="D9" s="29"/>
      <c r="E9" s="84"/>
      <c r="F9" s="74"/>
      <c r="H9" s="114"/>
      <c r="I9" s="112"/>
      <c r="J9" s="27"/>
      <c r="K9" s="27"/>
      <c r="L9" s="27"/>
      <c r="M9" s="27"/>
      <c r="N9" s="27"/>
      <c r="O9" s="27"/>
      <c r="P9" s="27"/>
      <c r="Q9" s="27"/>
      <c r="R9" s="27"/>
      <c r="S9" s="27"/>
      <c r="T9" s="28"/>
      <c r="V9" s="26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8"/>
    </row>
    <row r="10" spans="1:46" x14ac:dyDescent="0.25">
      <c r="A10" s="29"/>
      <c r="D10" s="29"/>
      <c r="E10" s="75"/>
      <c r="F10" s="74"/>
      <c r="T10" s="19"/>
      <c r="V10" s="29"/>
      <c r="AT10" s="19"/>
    </row>
    <row r="11" spans="1:46" x14ac:dyDescent="0.25">
      <c r="A11" s="29"/>
      <c r="D11" s="29"/>
      <c r="E11" s="75"/>
      <c r="F11" s="74"/>
      <c r="T11" s="19"/>
      <c r="V11" s="29"/>
      <c r="AT11" s="19"/>
    </row>
    <row r="12" spans="1:46" x14ac:dyDescent="0.25">
      <c r="A12" s="29"/>
      <c r="D12" s="29"/>
      <c r="E12" s="75"/>
      <c r="F12" s="74"/>
      <c r="T12" s="19"/>
      <c r="V12" s="29"/>
      <c r="AT12" s="19"/>
    </row>
    <row r="13" spans="1:46" x14ac:dyDescent="0.25">
      <c r="A13" s="29"/>
      <c r="D13" s="29"/>
      <c r="E13" s="75"/>
      <c r="F13" s="74"/>
      <c r="T13" s="19"/>
      <c r="V13" s="29"/>
      <c r="AT13" s="19"/>
    </row>
    <row r="14" spans="1:46" x14ac:dyDescent="0.25">
      <c r="A14" s="29"/>
      <c r="D14" s="29"/>
      <c r="E14" s="75"/>
      <c r="F14" s="74"/>
      <c r="T14" s="19"/>
      <c r="V14" s="29"/>
      <c r="AT14" s="19"/>
    </row>
    <row r="15" spans="1:46" x14ac:dyDescent="0.25">
      <c r="A15" s="29"/>
      <c r="D15" s="29"/>
      <c r="E15" s="75"/>
      <c r="F15" s="74"/>
      <c r="T15" s="19"/>
      <c r="V15" s="29"/>
      <c r="AT15" s="19"/>
    </row>
    <row r="16" spans="1:46" x14ac:dyDescent="0.25">
      <c r="A16" s="29"/>
      <c r="D16" s="29"/>
      <c r="E16" s="75"/>
      <c r="F16" s="74"/>
      <c r="T16" s="19"/>
      <c r="V16" s="29"/>
      <c r="AT16" s="19"/>
    </row>
    <row r="17" spans="1:46" x14ac:dyDescent="0.25">
      <c r="A17" s="29"/>
      <c r="D17" s="29"/>
      <c r="E17" s="75"/>
      <c r="F17" s="74"/>
      <c r="T17" s="19"/>
      <c r="V17" s="29"/>
      <c r="AT17" s="19"/>
    </row>
    <row r="18" spans="1:46" x14ac:dyDescent="0.25">
      <c r="A18" s="29"/>
      <c r="D18" s="29"/>
      <c r="E18" s="75"/>
      <c r="F18" s="74"/>
      <c r="T18" s="19"/>
      <c r="V18" s="29"/>
      <c r="AT18" s="19"/>
    </row>
    <row r="19" spans="1:46" x14ac:dyDescent="0.25">
      <c r="A19" s="29"/>
      <c r="D19" s="29"/>
      <c r="E19" s="75"/>
      <c r="F19" s="74"/>
      <c r="T19" s="19"/>
      <c r="V19" s="29"/>
      <c r="AT19" s="19"/>
    </row>
    <row r="20" spans="1:46" x14ac:dyDescent="0.25">
      <c r="A20" s="29"/>
      <c r="D20" s="29"/>
      <c r="E20" s="75"/>
      <c r="F20" s="74"/>
      <c r="T20" s="19"/>
      <c r="V20" s="29"/>
      <c r="AT20" s="19"/>
    </row>
    <row r="21" spans="1:46" x14ac:dyDescent="0.25">
      <c r="A21" s="29"/>
      <c r="D21" s="29"/>
      <c r="E21" s="75"/>
      <c r="F21" s="74"/>
      <c r="T21" s="19"/>
      <c r="V21" s="29"/>
      <c r="AT21" s="19"/>
    </row>
    <row r="22" spans="1:46" x14ac:dyDescent="0.25">
      <c r="A22" s="29"/>
      <c r="D22" s="29"/>
      <c r="E22" s="75"/>
      <c r="F22" s="74"/>
      <c r="T22" s="19"/>
      <c r="V22" s="29"/>
      <c r="AT22" s="19"/>
    </row>
    <row r="23" spans="1:46" ht="15.75" thickBot="1" x14ac:dyDescent="0.3">
      <c r="A23" s="119" t="str">
        <f>IF(AND(SingolaSx!BL14=0,SingolaSx!BM14=1),"X","")</f>
        <v/>
      </c>
      <c r="B23" s="9"/>
      <c r="C23" s="9"/>
      <c r="D23" s="29"/>
      <c r="E23" s="119" t="str">
        <f>IF(AND(SingolaSx!BL14=0,SingolaSx!BM14=0),"X","")</f>
        <v/>
      </c>
      <c r="F23" s="9"/>
      <c r="G23" s="81"/>
      <c r="H23" s="115"/>
      <c r="I23" s="113"/>
      <c r="J23" s="9"/>
      <c r="K23" s="9"/>
      <c r="L23" s="9"/>
      <c r="M23" s="9"/>
      <c r="N23" s="9"/>
      <c r="O23" s="9"/>
      <c r="P23" s="9"/>
      <c r="Q23" s="9"/>
      <c r="R23" s="9"/>
      <c r="S23" s="9"/>
      <c r="T23" s="31"/>
      <c r="V23" s="119" t="str">
        <f>IF(ISBLANK(C40),"",IF(AND(SingolaSx!BL14=1,SingolaSx!BM14=0),"X",""))</f>
        <v/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31"/>
    </row>
    <row r="24" spans="1:46" ht="15.75" thickBot="1" x14ac:dyDescent="0.3"/>
    <row r="25" spans="1:46" x14ac:dyDescent="0.25">
      <c r="S25" s="2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8"/>
      <c r="AH25" s="26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8"/>
    </row>
    <row r="26" spans="1:46" x14ac:dyDescent="0.25">
      <c r="S26" s="29"/>
      <c r="AF26" s="19"/>
      <c r="AH26" s="29"/>
      <c r="AT26" s="19"/>
    </row>
    <row r="27" spans="1:46" x14ac:dyDescent="0.25">
      <c r="S27" s="29"/>
      <c r="AF27" s="19"/>
      <c r="AH27" s="29"/>
      <c r="AT27" s="19"/>
    </row>
    <row r="28" spans="1:46" x14ac:dyDescent="0.25">
      <c r="S28" s="29"/>
      <c r="AF28" s="19"/>
      <c r="AH28" s="29"/>
      <c r="AT28" s="19"/>
    </row>
    <row r="29" spans="1:46" x14ac:dyDescent="0.25">
      <c r="J29" s="74"/>
      <c r="K29" s="74"/>
      <c r="L29" s="74"/>
      <c r="M29" s="74"/>
      <c r="N29" s="74"/>
      <c r="O29" s="74"/>
      <c r="P29" s="74"/>
      <c r="S29" s="29"/>
      <c r="AF29" s="19"/>
      <c r="AH29" s="29"/>
      <c r="AT29" s="19"/>
    </row>
    <row r="30" spans="1:46" x14ac:dyDescent="0.25">
      <c r="J30" s="74"/>
      <c r="K30" s="74"/>
      <c r="L30" s="74"/>
      <c r="M30" s="74"/>
      <c r="N30" s="74"/>
      <c r="O30" s="74"/>
      <c r="P30" s="74"/>
      <c r="S30" s="29"/>
      <c r="AF30" s="19"/>
      <c r="AH30" s="29"/>
      <c r="AT30" s="19"/>
    </row>
    <row r="31" spans="1:46" x14ac:dyDescent="0.25">
      <c r="J31" s="74"/>
      <c r="K31" s="74"/>
      <c r="L31" s="74"/>
      <c r="M31" s="74"/>
      <c r="N31" s="74"/>
      <c r="O31" s="74"/>
      <c r="P31" s="74"/>
      <c r="S31" s="29"/>
      <c r="AF31" s="19"/>
      <c r="AH31" s="29"/>
      <c r="AT31" s="19"/>
    </row>
    <row r="32" spans="1:46" ht="21" x14ac:dyDescent="0.25">
      <c r="A32" s="141" t="s">
        <v>66</v>
      </c>
      <c r="B32" s="141"/>
      <c r="C32" s="141"/>
      <c r="D32" s="141"/>
      <c r="J32" s="74"/>
      <c r="K32" s="74"/>
      <c r="L32" s="74"/>
      <c r="M32" s="74"/>
      <c r="N32" s="74"/>
      <c r="O32" s="74"/>
      <c r="P32" s="74"/>
      <c r="S32" s="29"/>
      <c r="AF32" s="19"/>
      <c r="AH32" s="29"/>
      <c r="AT32" s="19"/>
    </row>
    <row r="33" spans="1:46" ht="15.75" thickBot="1" x14ac:dyDescent="0.3">
      <c r="J33" s="74"/>
      <c r="K33" s="74"/>
      <c r="L33" s="74"/>
      <c r="M33" s="74"/>
      <c r="N33" s="74"/>
      <c r="O33" s="74"/>
      <c r="P33" s="74"/>
      <c r="S33" s="29"/>
      <c r="AF33" s="19"/>
      <c r="AH33" s="29"/>
      <c r="AT33" s="19"/>
    </row>
    <row r="34" spans="1:46" ht="21" customHeight="1" thickBot="1" x14ac:dyDescent="0.3">
      <c r="A34" s="145" t="str">
        <f>INDEX(SingolaSx!AY56:'SingolaSx'!AY61,MATCH(1,SingolaSx!$AZ$4:'SingolaSx'!$AZ$9,0))</f>
        <v>Contact name</v>
      </c>
      <c r="B34" s="146"/>
      <c r="C34" s="142"/>
      <c r="D34" s="144"/>
      <c r="E34" s="98"/>
      <c r="F34" s="98"/>
      <c r="J34" s="120" t="str">
        <f>IF(AND(SingolaSx!BK39=1,SingolaSx!BL39=1),"X","")</f>
        <v/>
      </c>
      <c r="K34" s="153" t="str">
        <f>INDEX(SingolaSx!BD67:'SingolaSx'!BD72,MATCH(1,SingolaSx!$AZ$4:'SingolaSx'!$AZ$9,0))</f>
        <v>Wood</v>
      </c>
      <c r="L34" s="154"/>
      <c r="M34" s="154"/>
      <c r="N34" s="154"/>
      <c r="O34" s="155"/>
      <c r="P34" s="72"/>
      <c r="Q34" s="73"/>
      <c r="S34" s="29"/>
      <c r="AF34" s="19"/>
      <c r="AH34" s="29"/>
      <c r="AT34" s="19"/>
    </row>
    <row r="35" spans="1:46" ht="21" x14ac:dyDescent="0.25">
      <c r="A35" s="145" t="str">
        <f>INDEX(SingolaSx!AY63:'SingolaSx'!AY68,MATCH(1,SingolaSx!$AZ$4:'SingolaSx'!$AZ$9,0))</f>
        <v>Company</v>
      </c>
      <c r="B35" s="146"/>
      <c r="C35" s="142"/>
      <c r="D35" s="144"/>
      <c r="E35" s="98"/>
      <c r="F35" s="98"/>
      <c r="J35" s="75"/>
      <c r="K35" s="74"/>
      <c r="L35" s="74"/>
      <c r="M35" s="74"/>
      <c r="N35" s="74"/>
      <c r="O35" s="76"/>
      <c r="P35" s="74"/>
      <c r="S35" s="29"/>
      <c r="AF35" s="19"/>
      <c r="AH35" s="29"/>
      <c r="AT35" s="19"/>
    </row>
    <row r="36" spans="1:46" ht="21" x14ac:dyDescent="0.25">
      <c r="A36" s="145" t="str">
        <f>INDEX(SingolaSx!AY231:'SingolaSx'!AY235,MATCH(1,SingolaSx!$AZ$4:'SingolaSx'!$AZ$9,0))</f>
        <v>Distributor</v>
      </c>
      <c r="B36" s="146"/>
      <c r="C36" s="142"/>
      <c r="D36" s="144"/>
      <c r="E36" s="98"/>
      <c r="F36" s="98"/>
      <c r="J36" s="75"/>
      <c r="K36" s="74"/>
      <c r="L36" s="74"/>
      <c r="M36" s="74"/>
      <c r="N36" s="74"/>
      <c r="O36" s="76"/>
      <c r="P36" s="74"/>
      <c r="S36" s="29"/>
      <c r="AF36" s="19"/>
      <c r="AH36" s="29"/>
      <c r="AT36" s="19"/>
    </row>
    <row r="37" spans="1:46" ht="21" x14ac:dyDescent="0.25">
      <c r="A37" s="145" t="str">
        <f>INDEX(SingolaSx!AY70:'SingolaSx'!AY75,MATCH(1,SingolaSx!$AZ$4:'SingolaSx'!$AZ$9,0))</f>
        <v>Date</v>
      </c>
      <c r="B37" s="146"/>
      <c r="C37" s="163"/>
      <c r="D37" s="144"/>
      <c r="E37" s="98"/>
      <c r="F37" s="98"/>
      <c r="J37" s="75"/>
      <c r="K37" s="74"/>
      <c r="L37" s="74"/>
      <c r="M37" s="74"/>
      <c r="N37" s="74"/>
      <c r="O37" s="76"/>
      <c r="P37" s="74"/>
      <c r="S37" s="29"/>
      <c r="AF37" s="19"/>
      <c r="AH37" s="29"/>
      <c r="AT37" s="19"/>
    </row>
    <row r="38" spans="1:46" ht="21" x14ac:dyDescent="0.25">
      <c r="A38" s="145" t="str">
        <f>INDEX(SingolaSx!AY77:'SingolaSx'!AY82,MATCH(1,SingolaSx!$AZ$4:'SingolaSx'!$AZ$9,0))</f>
        <v>Project</v>
      </c>
      <c r="B38" s="146"/>
      <c r="C38" s="142"/>
      <c r="D38" s="144"/>
      <c r="E38" s="98"/>
      <c r="F38" s="98"/>
      <c r="J38" s="75"/>
      <c r="K38" s="74"/>
      <c r="L38" s="74"/>
      <c r="M38" s="74"/>
      <c r="N38" s="74"/>
      <c r="O38" s="76"/>
      <c r="P38" s="74"/>
      <c r="S38" s="29"/>
      <c r="AF38" s="19"/>
      <c r="AH38" s="29"/>
      <c r="AT38" s="19"/>
    </row>
    <row r="39" spans="1:46" ht="21" x14ac:dyDescent="0.25">
      <c r="A39" s="145" t="s">
        <v>119</v>
      </c>
      <c r="B39" s="146"/>
      <c r="C39" s="142"/>
      <c r="D39" s="144"/>
      <c r="E39" s="98"/>
      <c r="F39" s="98"/>
      <c r="I39" s="89">
        <f>IF(C39="",0,1)</f>
        <v>0</v>
      </c>
      <c r="J39" s="75"/>
      <c r="K39" s="74"/>
      <c r="L39" s="74"/>
      <c r="M39" s="74"/>
      <c r="N39" s="74"/>
      <c r="O39" s="76"/>
      <c r="P39" s="74"/>
      <c r="S39" s="29"/>
      <c r="AF39" s="19"/>
      <c r="AH39" s="29"/>
      <c r="AT39" s="19"/>
    </row>
    <row r="40" spans="1:46" ht="21" x14ac:dyDescent="0.25">
      <c r="A40" s="145" t="str">
        <f>INDEX(SingolaSx!AY237:'SingolaSx'!AY242,MATCH(1,SingolaSx!$AZ$4:'SingolaSx'!$AZ$9,0))</f>
        <v>Opening</v>
      </c>
      <c r="B40" s="146"/>
      <c r="C40" s="142"/>
      <c r="D40" s="144"/>
      <c r="E40" s="98"/>
      <c r="F40" s="98"/>
      <c r="I40" s="89">
        <f>IF(C40="",0,1)</f>
        <v>0</v>
      </c>
      <c r="J40" s="75"/>
      <c r="K40" s="74"/>
      <c r="L40" s="74"/>
      <c r="M40" s="77"/>
      <c r="N40" s="78"/>
      <c r="O40" s="79"/>
      <c r="P40" s="74"/>
      <c r="S40" s="29"/>
      <c r="AF40" s="19"/>
      <c r="AH40" s="29"/>
      <c r="AT40" s="19"/>
    </row>
    <row r="41" spans="1:46" ht="21" x14ac:dyDescent="0.25">
      <c r="A41" s="145" t="str">
        <f>INDEX(SingolaSx!AY244:'SingolaSx'!AY249,MATCH(1,SingolaSx!$AZ$4:'SingolaSx'!$AZ$9,0))</f>
        <v>Hinges</v>
      </c>
      <c r="B41" s="146"/>
      <c r="C41" s="142"/>
      <c r="D41" s="144"/>
      <c r="E41" s="98"/>
      <c r="F41" s="98"/>
      <c r="I41" s="89">
        <f>IF(C41="",0,1)</f>
        <v>0</v>
      </c>
      <c r="J41" s="75"/>
      <c r="K41" s="74"/>
      <c r="L41" s="74"/>
      <c r="M41" s="74"/>
      <c r="N41" s="74"/>
      <c r="O41" s="76"/>
      <c r="P41" s="74"/>
      <c r="S41" s="29"/>
      <c r="AF41" s="19"/>
      <c r="AH41" s="29"/>
      <c r="AT41" s="19"/>
    </row>
    <row r="42" spans="1:46" ht="21" x14ac:dyDescent="0.25">
      <c r="A42" s="145" t="str">
        <f>INDEX(SingolaSx!AY251:'SingolaSx'!AY256,MATCH(1,SingolaSx!$AZ$4:'SingolaSx'!$AZ$9,0))</f>
        <v>Finish</v>
      </c>
      <c r="B42" s="146"/>
      <c r="C42" s="142"/>
      <c r="D42" s="144"/>
      <c r="E42" s="98"/>
      <c r="F42" s="98"/>
      <c r="I42" s="89">
        <f>IF(C42="",0,1)</f>
        <v>0</v>
      </c>
      <c r="J42" s="75"/>
      <c r="K42" s="74"/>
      <c r="L42" s="74"/>
      <c r="M42" s="74"/>
      <c r="N42" s="74"/>
      <c r="O42" s="76"/>
      <c r="P42" s="74"/>
      <c r="S42" s="29"/>
      <c r="AF42" s="19"/>
      <c r="AH42" s="29"/>
      <c r="AT42" s="19"/>
    </row>
    <row r="43" spans="1:46" ht="21.75" thickBot="1" x14ac:dyDescent="0.3">
      <c r="A43" s="145" t="str">
        <f>INDEX(SingolaSx!AY258:'SingolaSx'!AY263,MATCH(1,SingolaSx!$AZ$4:'SingolaSx'!$AZ$9,0))</f>
        <v>Door type</v>
      </c>
      <c r="B43" s="146"/>
      <c r="C43" s="142"/>
      <c r="D43" s="144"/>
      <c r="I43" s="89">
        <f>IF(C43="",0,1)</f>
        <v>0</v>
      </c>
      <c r="J43" s="80"/>
      <c r="K43" s="81"/>
      <c r="L43" s="81"/>
      <c r="M43" s="81"/>
      <c r="N43" s="81"/>
      <c r="O43" s="82"/>
      <c r="P43" s="74"/>
      <c r="S43" s="29"/>
      <c r="AF43" s="19"/>
      <c r="AH43" s="29"/>
      <c r="AT43" s="19"/>
    </row>
    <row r="44" spans="1:46" ht="21.75" thickBot="1" x14ac:dyDescent="0.3">
      <c r="A44" s="145" t="s">
        <v>162</v>
      </c>
      <c r="B44" s="146"/>
      <c r="C44" s="71" t="str">
        <f>INDEX(SingolaSx!AY154:'SingolaSx'!AY159,MATCH(1,SingolaSx!$AZ$4:'SingolaSx'!$AZ$9,0))</f>
        <v>Door height (mm) – min 600 mm max 2800 mm</v>
      </c>
      <c r="D44" s="168"/>
      <c r="E44" s="168"/>
      <c r="F44" s="168"/>
      <c r="I44" s="89">
        <f>IF(ISBLANK(D44),0,1)</f>
        <v>0</v>
      </c>
      <c r="J44" s="74"/>
      <c r="K44" s="74"/>
      <c r="L44" s="74"/>
      <c r="M44" s="74"/>
      <c r="N44" s="74"/>
      <c r="O44" s="74"/>
      <c r="P44" s="74"/>
      <c r="S44" s="29"/>
      <c r="AF44" s="19"/>
      <c r="AH44" s="29"/>
      <c r="AT44" s="19"/>
    </row>
    <row r="45" spans="1:46" ht="21.75" thickBot="1" x14ac:dyDescent="0.3">
      <c r="A45" s="145" t="s">
        <v>2</v>
      </c>
      <c r="B45" s="146"/>
      <c r="C45" s="71" t="str">
        <f>INDEX(SingolaSx!AY189:'SingolaSx'!AY194,MATCH(1,SingolaSx!$AZ$4:'SingolaSx'!$AZ$9,0))</f>
        <v>Door distance from the floor - min recommended 17 mm</v>
      </c>
      <c r="D45" s="142"/>
      <c r="E45" s="143"/>
      <c r="F45" s="144"/>
      <c r="I45" s="89">
        <f t="shared" ref="I45:I60" si="0">IF(ISBLANK(D45),0,1)</f>
        <v>0</v>
      </c>
      <c r="J45" s="120" t="str">
        <f>IF(ISBLANK(C43),"",IF(AND(SingolaSx!BK39=0,SingolaSx!BL39=1),"X",""))</f>
        <v/>
      </c>
      <c r="K45" s="156" t="str">
        <f>INDEX(SingolaSx!BD81:'SingolaSx'!BD86,MATCH(1,SingolaSx!$AZ$4:'SingolaSx'!$AZ$9,0))</f>
        <v>Wood + Aluminum Side Profiles</v>
      </c>
      <c r="L45" s="157"/>
      <c r="M45" s="157"/>
      <c r="N45" s="157"/>
      <c r="O45" s="158"/>
      <c r="P45" s="74"/>
      <c r="S45" s="29"/>
      <c r="AF45" s="19"/>
      <c r="AH45" s="29"/>
      <c r="AT45" s="19"/>
    </row>
    <row r="46" spans="1:46" ht="21" x14ac:dyDescent="0.25">
      <c r="A46" s="145" t="s">
        <v>16</v>
      </c>
      <c r="B46" s="146"/>
      <c r="C46" s="71" t="str">
        <f>INDEX(SingolaSx!AY126:'SingolaSx'!AY131,MATCH(1,SingolaSx!$AZ$4:'SingolaSx'!$AZ$9,0))</f>
        <v>Total cabinet height (mm)</v>
      </c>
      <c r="D46" s="147">
        <f>D44+D45</f>
        <v>0</v>
      </c>
      <c r="E46" s="148"/>
      <c r="F46" s="149"/>
      <c r="H46" s="83">
        <f>SUM(I44:I45)</f>
        <v>0</v>
      </c>
      <c r="I46" s="89">
        <f t="shared" si="0"/>
        <v>1</v>
      </c>
      <c r="J46" s="75"/>
      <c r="K46" s="74"/>
      <c r="L46" s="74"/>
      <c r="M46" s="74"/>
      <c r="N46" s="74"/>
      <c r="O46" s="76"/>
      <c r="P46" s="74"/>
      <c r="S46" s="29"/>
      <c r="AF46" s="19"/>
      <c r="AH46" s="29"/>
      <c r="AT46" s="19"/>
    </row>
    <row r="47" spans="1:46" ht="21" x14ac:dyDescent="0.25">
      <c r="A47" s="145" t="s">
        <v>0</v>
      </c>
      <c r="B47" s="146"/>
      <c r="C47" s="71" t="str">
        <f>INDEX(SingolaSx!AY133:'SingolaSx'!AY138,MATCH(1,SingolaSx!$AZ$4:'SingolaSx'!$AZ$9,0))</f>
        <v>Top panel thickness (mm) – min 18 mm</v>
      </c>
      <c r="D47" s="142"/>
      <c r="E47" s="143"/>
      <c r="F47" s="144"/>
      <c r="I47" s="89">
        <f t="shared" si="0"/>
        <v>0</v>
      </c>
      <c r="J47" s="75"/>
      <c r="K47" s="74"/>
      <c r="L47" s="74"/>
      <c r="M47" s="74"/>
      <c r="N47" s="74"/>
      <c r="O47" s="76"/>
      <c r="P47" s="74"/>
      <c r="S47" s="29"/>
      <c r="AF47" s="19"/>
      <c r="AH47" s="29"/>
      <c r="AT47" s="19"/>
    </row>
    <row r="48" spans="1:46" ht="21" x14ac:dyDescent="0.25">
      <c r="A48" s="145" t="s">
        <v>1</v>
      </c>
      <c r="B48" s="146"/>
      <c r="C48" s="71" t="str">
        <f>INDEX(SingolaSx!AY147:'SingolaSx'!AY152,MATCH(1,SingolaSx!$AZ$4:'SingolaSx'!$AZ$9,0))</f>
        <v>Bottom panel thickness (mm) • min 18 mm</v>
      </c>
      <c r="D48" s="142"/>
      <c r="E48" s="143"/>
      <c r="F48" s="144"/>
      <c r="I48" s="89">
        <f t="shared" si="0"/>
        <v>0</v>
      </c>
      <c r="J48" s="75"/>
      <c r="K48" s="74"/>
      <c r="L48" s="74"/>
      <c r="M48" s="74"/>
      <c r="N48" s="74"/>
      <c r="O48" s="76"/>
      <c r="P48" s="74"/>
      <c r="S48" s="29"/>
      <c r="AF48" s="19"/>
      <c r="AH48" s="29"/>
      <c r="AT48" s="19"/>
    </row>
    <row r="49" spans="1:46" ht="21" x14ac:dyDescent="0.25">
      <c r="A49" s="145" t="s">
        <v>11</v>
      </c>
      <c r="B49" s="146"/>
      <c r="C49" s="71" t="str">
        <f>INDEX(SingolaSx!AY182:'SingolaSx'!AY187,MATCH(1,SingolaSx!$AZ$4:'SingolaSx'!$AZ$9,0))</f>
        <v>Base height  (mm) - min 35 mm</v>
      </c>
      <c r="D49" s="142"/>
      <c r="E49" s="143"/>
      <c r="F49" s="144"/>
      <c r="I49" s="89">
        <f t="shared" si="0"/>
        <v>0</v>
      </c>
      <c r="J49" s="75"/>
      <c r="K49" s="74"/>
      <c r="L49" s="74"/>
      <c r="M49" s="74"/>
      <c r="N49" s="74"/>
      <c r="O49" s="76"/>
      <c r="P49" s="74"/>
      <c r="S49" s="29"/>
      <c r="AF49" s="19"/>
      <c r="AH49" s="29"/>
      <c r="AT49" s="19"/>
    </row>
    <row r="50" spans="1:46" ht="21" x14ac:dyDescent="0.25">
      <c r="A50" s="145" t="s">
        <v>17</v>
      </c>
      <c r="B50" s="146"/>
      <c r="C50" s="71" t="str">
        <f>INDEX(SingolaSx!AY140:'SingolaSx'!AY145,MATCH(1,SingolaSx!$AZ$4:'SingolaSx'!$AZ$9,0))</f>
        <v>Internal cabinet height (mm)</v>
      </c>
      <c r="D50" s="145">
        <f>IF(D46="","",D46-D47-D48-D49)</f>
        <v>0</v>
      </c>
      <c r="E50" s="164"/>
      <c r="F50" s="146"/>
      <c r="H50" s="83">
        <f>SUM(I47:I49)</f>
        <v>0</v>
      </c>
      <c r="I50" s="89">
        <f t="shared" si="0"/>
        <v>1</v>
      </c>
      <c r="J50" s="75"/>
      <c r="K50" s="74"/>
      <c r="L50" s="74"/>
      <c r="M50" s="74"/>
      <c r="N50" s="74"/>
      <c r="O50" s="76"/>
      <c r="P50" s="74"/>
      <c r="S50" s="29"/>
      <c r="AF50" s="19"/>
      <c r="AH50" s="29"/>
      <c r="AT50" s="19"/>
    </row>
    <row r="51" spans="1:46" ht="21" x14ac:dyDescent="0.25">
      <c r="A51" s="145" t="s">
        <v>85</v>
      </c>
      <c r="B51" s="146"/>
      <c r="C51" s="71" t="str">
        <f>INDEX(SingolaSx!AY119:'SingolaSx'!AY124,MATCH(1,SingolaSx!$AZ$4:'SingolaSx'!$AZ$9,0))</f>
        <v>Door width (mm) – min 350 mm max 750 mm</v>
      </c>
      <c r="D51" s="165"/>
      <c r="E51" s="166"/>
      <c r="F51" s="167"/>
      <c r="I51" s="89">
        <f t="shared" si="0"/>
        <v>0</v>
      </c>
      <c r="J51" s="75"/>
      <c r="K51" s="74"/>
      <c r="L51" s="74"/>
      <c r="M51" s="77"/>
      <c r="N51" s="78"/>
      <c r="O51" s="79"/>
      <c r="P51" s="74"/>
      <c r="S51" s="29"/>
      <c r="AF51" s="19"/>
      <c r="AH51" s="29"/>
      <c r="AT51" s="19"/>
    </row>
    <row r="52" spans="1:46" ht="21.75" thickBot="1" x14ac:dyDescent="0.3">
      <c r="A52" s="145" t="s">
        <v>217</v>
      </c>
      <c r="B52" s="146"/>
      <c r="C52" s="71" t="str">
        <f>INDEX(SingolaSx!AY203:'SingolaSx'!AY208,MATCH(1,SingolaSx!$AZ$4:'SingolaSx'!$AZ$9,0))</f>
        <v>Reveal between doors (mm)</v>
      </c>
      <c r="D52" s="142"/>
      <c r="E52" s="143"/>
      <c r="F52" s="144"/>
      <c r="I52" s="89">
        <f t="shared" si="0"/>
        <v>0</v>
      </c>
      <c r="J52" s="75"/>
      <c r="K52" s="74"/>
      <c r="L52" s="74"/>
      <c r="M52" s="74"/>
      <c r="N52" s="74"/>
      <c r="O52" s="76"/>
      <c r="P52" s="74"/>
      <c r="S52" s="119" t="str">
        <f>IF(ISBLANK(C39),"",IF(SingolaSx!BN14=1,"X",""))</f>
        <v/>
      </c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31"/>
      <c r="AH52" s="119" t="str">
        <f>IF(SingolaSx!BN14=0,"X","")</f>
        <v/>
      </c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31"/>
    </row>
    <row r="53" spans="1:46" ht="21.75" thickBot="1" x14ac:dyDescent="0.3">
      <c r="A53" s="145" t="s">
        <v>12</v>
      </c>
      <c r="B53" s="146"/>
      <c r="C53" s="71" t="str">
        <f>INDEX(SingolaSx!AY98:'SingolaSx'!AY103,MATCH(1,SingolaSx!$AZ$4:'SingolaSx'!$AZ$9,0))</f>
        <v>Central panel thickness (mm) – min 16 (mm)</v>
      </c>
      <c r="D53" s="142"/>
      <c r="E53" s="143"/>
      <c r="F53" s="144"/>
      <c r="I53" s="89">
        <f t="shared" si="0"/>
        <v>0</v>
      </c>
      <c r="J53" s="75"/>
      <c r="K53" s="74"/>
      <c r="L53" s="74"/>
      <c r="M53" s="74"/>
      <c r="N53" s="74"/>
      <c r="O53" s="76"/>
      <c r="P53" s="74"/>
    </row>
    <row r="54" spans="1:46" ht="21.75" thickBot="1" x14ac:dyDescent="0.3">
      <c r="A54" s="145" t="s">
        <v>9</v>
      </c>
      <c r="B54" s="146"/>
      <c r="C54" s="71" t="str">
        <f>INDEX(SingolaSx!AY112:'SingolaSx'!AY117,MATCH(1,SingolaSx!$AZ$4:'SingolaSx'!$AZ$9,0))</f>
        <v>Internal door overlay (hinged side) on SPI (mm)</v>
      </c>
      <c r="D54" s="142"/>
      <c r="E54" s="143"/>
      <c r="F54" s="144"/>
      <c r="I54" s="89">
        <f t="shared" si="0"/>
        <v>0</v>
      </c>
      <c r="J54" s="80"/>
      <c r="K54" s="81"/>
      <c r="L54" s="81"/>
      <c r="M54" s="81"/>
      <c r="N54" s="81"/>
      <c r="O54" s="82"/>
      <c r="P54" s="74"/>
      <c r="T54" s="120" t="str">
        <f>IF(AND(SingolaSx!BL17=0,SingolaSx!BM17=0),"X","")</f>
        <v/>
      </c>
      <c r="U54" s="69"/>
      <c r="V54" s="69" t="s">
        <v>114</v>
      </c>
      <c r="W54" s="69"/>
      <c r="X54" s="69"/>
      <c r="Y54" s="69"/>
      <c r="Z54" s="69"/>
      <c r="AA54" s="70"/>
      <c r="AC54" s="120" t="str">
        <f>IF(ISBLANK(C41),"",IF(AND(SingolaSx!BL17=0,SingolaSx!BM17=1),"X",""))</f>
        <v/>
      </c>
      <c r="AD54" s="97"/>
      <c r="AE54" s="69" t="s">
        <v>115</v>
      </c>
      <c r="AF54" s="69"/>
      <c r="AG54" s="69"/>
      <c r="AH54" s="69"/>
      <c r="AI54" s="69"/>
      <c r="AJ54" s="70"/>
      <c r="AL54" s="120" t="str">
        <f>IF(SingolaSx!BL17=1,"X","")</f>
        <v/>
      </c>
      <c r="AM54" s="69"/>
      <c r="AN54" s="69" t="s">
        <v>122</v>
      </c>
      <c r="AO54" s="69"/>
      <c r="AP54" s="69"/>
      <c r="AQ54" s="2"/>
      <c r="AR54" s="2"/>
      <c r="AS54" s="3"/>
    </row>
    <row r="55" spans="1:46" ht="21.75" thickBot="1" x14ac:dyDescent="0.3">
      <c r="A55" s="145" t="s">
        <v>234</v>
      </c>
      <c r="B55" s="146"/>
      <c r="C55" s="71" t="str">
        <f>INDEX(SingolaSx!AY224:'SingolaSx'!AY229,MATCH(1,SingolaSx!$AZ$4:'SingolaSx'!$AZ$9,0))</f>
        <v>Side panel thickness (mm) - min 18 mm</v>
      </c>
      <c r="D55" s="142"/>
      <c r="E55" s="143"/>
      <c r="F55" s="144"/>
      <c r="I55" s="89">
        <f>IF(AND(SingolaSx!BL14=0,ISBLANK(D55)),0,1)</f>
        <v>1</v>
      </c>
      <c r="J55" s="74"/>
      <c r="K55" s="74"/>
      <c r="L55" s="74"/>
      <c r="M55" s="74"/>
      <c r="N55" s="74"/>
      <c r="O55" s="74"/>
      <c r="P55" s="74"/>
      <c r="T55" s="29"/>
      <c r="AA55" s="19"/>
      <c r="AC55" s="29"/>
      <c r="AJ55" s="19"/>
      <c r="AL55" s="29"/>
      <c r="AS55" s="19"/>
    </row>
    <row r="56" spans="1:46" ht="21.75" thickBot="1" x14ac:dyDescent="0.3">
      <c r="A56" s="145" t="s">
        <v>8</v>
      </c>
      <c r="B56" s="146"/>
      <c r="C56" s="71" t="str">
        <f>INDEX(SingolaSx!AY161:'SingolaSx'!AY166,MATCH(1,SingolaSx!$AZ$4:'SingolaSx'!$AZ$9,0))</f>
        <v>Overlap on exterior side SPE (mm) • max 27,5 mm</v>
      </c>
      <c r="D56" s="142"/>
      <c r="E56" s="143"/>
      <c r="F56" s="144"/>
      <c r="I56" s="89">
        <f>IF(AND(SingolaSx!BL14=0,ISBLANK(D56)),0,1)</f>
        <v>1</v>
      </c>
      <c r="J56" s="120" t="str">
        <f>IF(AND(SingolaSx!BK39=0,SingolaSx!BL39=0),"X","")</f>
        <v/>
      </c>
      <c r="K56" s="156" t="str">
        <f>INDEX(SingolaSx!BD74:'SingolaSx'!BD79,MATCH(1,SingolaSx!$AZ$4:'SingolaSx'!$AZ$9,0))</f>
        <v>Aluminum frame</v>
      </c>
      <c r="L56" s="157"/>
      <c r="M56" s="157"/>
      <c r="N56" s="157"/>
      <c r="O56" s="158"/>
      <c r="P56" s="74"/>
      <c r="T56" s="29"/>
      <c r="AA56" s="19"/>
      <c r="AC56" s="29"/>
      <c r="AJ56" s="19"/>
      <c r="AL56" s="29"/>
      <c r="AS56" s="19"/>
    </row>
    <row r="57" spans="1:46" ht="21" x14ac:dyDescent="0.25">
      <c r="A57" s="145" t="s">
        <v>3</v>
      </c>
      <c r="B57" s="146"/>
      <c r="C57" s="71" t="str">
        <f>INDEX(SingolaSx!AY196:'SingolaSx'!AY201,MATCH(1,SingolaSx!$AZ$4:'SingolaSx'!$AZ$9,0))</f>
        <v>Total cabinet width (mm)</v>
      </c>
      <c r="D57" s="145">
        <f>IF(SingolaSx!BL14=0,(2*D51)+D52+D53-D54+D55-D56,(4*D51)+3*D52+2*(D53-D54))</f>
        <v>0</v>
      </c>
      <c r="E57" s="164"/>
      <c r="F57" s="146"/>
      <c r="H57" s="83">
        <f>SUM(I51:I56)</f>
        <v>2</v>
      </c>
      <c r="I57" s="89">
        <f>IF(ISBLANK(D57),0,1)</f>
        <v>1</v>
      </c>
      <c r="J57" s="75"/>
      <c r="K57" s="74"/>
      <c r="L57" s="74"/>
      <c r="M57" s="74"/>
      <c r="N57" s="74"/>
      <c r="O57" s="76"/>
      <c r="P57" s="74"/>
      <c r="T57" s="29"/>
      <c r="AA57" s="19"/>
      <c r="AC57" s="29"/>
      <c r="AJ57" s="19"/>
      <c r="AL57" s="29"/>
      <c r="AS57" s="19"/>
    </row>
    <row r="58" spans="1:46" ht="21" x14ac:dyDescent="0.25">
      <c r="A58" s="145" t="s">
        <v>83</v>
      </c>
      <c r="B58" s="146"/>
      <c r="C58" s="71" t="str">
        <f>INDEX(SingolaSx!AY84:'SingolaSx'!AY89,MATCH(1,SingolaSx!$AZ$4:'SingolaSx'!$AZ$9,0))</f>
        <v>Internal cabinet width (mm)</v>
      </c>
      <c r="D58" s="145">
        <f>IF(SingolaSx!BL14=0,D57-D53-D55,D57-2*D53)</f>
        <v>0</v>
      </c>
      <c r="E58" s="164"/>
      <c r="F58" s="146"/>
      <c r="H58" s="83">
        <f>IF(D57&gt;0,1,0)</f>
        <v>0</v>
      </c>
      <c r="I58" s="89">
        <f t="shared" si="0"/>
        <v>1</v>
      </c>
      <c r="J58" s="75"/>
      <c r="K58" s="74"/>
      <c r="L58" s="74"/>
      <c r="M58" s="74"/>
      <c r="N58" s="74"/>
      <c r="O58" s="76"/>
      <c r="P58" s="74"/>
      <c r="R58" s="68"/>
      <c r="T58" s="29"/>
      <c r="AA58" s="19"/>
      <c r="AC58" s="29"/>
      <c r="AJ58" s="19"/>
      <c r="AL58" s="29"/>
      <c r="AS58" s="19"/>
    </row>
    <row r="59" spans="1:46" ht="21" x14ac:dyDescent="0.25">
      <c r="A59" s="145" t="s">
        <v>6</v>
      </c>
      <c r="B59" s="146"/>
      <c r="C59" s="71" t="str">
        <f>INDEX(SingolaSx!AY105:'SingolaSx'!AY110,MATCH(1,SingolaSx!$AZ$4:'SingolaSx'!$AZ$9,0))</f>
        <v>Door thickness (mm) – min 18 mm max 25 mm</v>
      </c>
      <c r="D59" s="142"/>
      <c r="E59" s="143"/>
      <c r="F59" s="144"/>
      <c r="I59" s="89">
        <f t="shared" si="0"/>
        <v>0</v>
      </c>
      <c r="J59" s="75"/>
      <c r="K59" s="74"/>
      <c r="L59" s="74"/>
      <c r="M59" s="74"/>
      <c r="N59" s="74"/>
      <c r="O59" s="76"/>
      <c r="P59" s="74"/>
      <c r="T59" s="29"/>
      <c r="AA59" s="19"/>
      <c r="AC59" s="29"/>
      <c r="AJ59" s="19"/>
      <c r="AL59" s="29"/>
      <c r="AS59" s="19"/>
    </row>
    <row r="60" spans="1:46" ht="21" x14ac:dyDescent="0.25">
      <c r="A60" s="145" t="s">
        <v>89</v>
      </c>
      <c r="B60" s="146"/>
      <c r="C60" s="71" t="str">
        <f>INDEX(SingolaSx!AY210:'SingolaSx'!AY215,MATCH(1,SingolaSx!$AZ$4:'SingolaSx'!$AZ$9,0))</f>
        <v>Max weight for two doors (kg)</v>
      </c>
      <c r="D60" s="150" t="str">
        <f>IFERROR(INDEX(SingolaSx!BO24:BO35,MATCH(2,SingolaSx!BN24:BN35,0)),"")</f>
        <v/>
      </c>
      <c r="E60" s="151"/>
      <c r="F60" s="152"/>
      <c r="H60" s="83">
        <f>I59</f>
        <v>0</v>
      </c>
      <c r="I60" s="89">
        <f t="shared" si="0"/>
        <v>1</v>
      </c>
      <c r="J60" s="75"/>
      <c r="K60" s="74"/>
      <c r="L60" s="74"/>
      <c r="M60" s="74"/>
      <c r="N60" s="74"/>
      <c r="O60" s="76"/>
      <c r="P60" s="74"/>
      <c r="T60" s="29"/>
      <c r="AA60" s="19"/>
      <c r="AC60" s="29"/>
      <c r="AJ60" s="19"/>
      <c r="AL60" s="29"/>
      <c r="AS60" s="19"/>
    </row>
    <row r="61" spans="1:46" ht="20.100000000000001" customHeight="1" x14ac:dyDescent="0.25">
      <c r="A61" s="159" t="str">
        <f>INDEX(SingolaSx!BD98:'SingolaSx'!BD103,MATCH(1,SingolaSx!$AZ$4:'SingolaSx'!$AZ$9,0))</f>
        <v>Code</v>
      </c>
      <c r="B61" s="160"/>
      <c r="C61" s="116" t="str">
        <f>INDEX(SingolaSx!BD105:'SingolaSx'!BD110,MATCH(1,SingolaSx!$AZ$4:'SingolaSx'!$AZ$9,0))</f>
        <v>Description</v>
      </c>
      <c r="D61" s="117" t="str">
        <f>INDEX(SingolaSx!AW53:'SingolaSx'!AW56,MATCH(1,SingolaSx!$AZ$4:'SingolaSx'!$AZ$9,0))</f>
        <v>Qty</v>
      </c>
      <c r="E61" s="87"/>
      <c r="F61" s="87"/>
      <c r="G61" s="85"/>
      <c r="J61" s="75"/>
      <c r="K61" s="74"/>
      <c r="L61" s="74"/>
      <c r="M61" s="74"/>
      <c r="N61" s="74"/>
      <c r="O61" s="76"/>
      <c r="P61" s="74"/>
      <c r="T61" s="29"/>
      <c r="AA61" s="19"/>
      <c r="AC61" s="29"/>
      <c r="AJ61" s="19"/>
      <c r="AL61" s="90" t="s">
        <v>168</v>
      </c>
      <c r="AM61" s="68"/>
      <c r="AN61" s="68" t="s">
        <v>170</v>
      </c>
      <c r="AO61" s="68"/>
      <c r="AS61" s="19"/>
    </row>
    <row r="62" spans="1:46" x14ac:dyDescent="0.25">
      <c r="A62" s="161" t="str">
        <f>IFERROR(VLOOKUP(SingolaSx!$BQ$14,SingolaSx!$BS$13:$BU$24,2,FALSE),"")</f>
        <v>VE79KITB050AA</v>
      </c>
      <c r="B62" s="162"/>
      <c r="C62" s="118" t="str">
        <f>VLOOKUP(SingolaSx!$BQ$14,SingolaSx!$BS$13:$BU$24,3,FALSE)</f>
        <v>FOLDER BASE KIT 1 (350-500) R</v>
      </c>
      <c r="D62" s="22">
        <f>IF(A62="","",1)</f>
        <v>1</v>
      </c>
      <c r="E62" s="88"/>
      <c r="F62" s="88"/>
      <c r="G62" s="85"/>
      <c r="J62" s="75"/>
      <c r="K62" s="74"/>
      <c r="L62" s="74"/>
      <c r="M62" s="77"/>
      <c r="N62" s="78"/>
      <c r="O62" s="79"/>
      <c r="P62" s="74"/>
      <c r="T62" s="90" t="s">
        <v>163</v>
      </c>
      <c r="U62" s="91" t="s">
        <v>166</v>
      </c>
      <c r="V62" s="92"/>
      <c r="W62" s="92"/>
      <c r="X62" s="92"/>
      <c r="Y62" s="92"/>
      <c r="Z62" s="68"/>
      <c r="AA62" s="68"/>
      <c r="AB62" s="93"/>
      <c r="AC62" s="90" t="s">
        <v>163</v>
      </c>
      <c r="AD62" s="68" t="s">
        <v>167</v>
      </c>
      <c r="AE62" s="68"/>
      <c r="AF62" s="68"/>
      <c r="AG62" s="68"/>
      <c r="AH62" s="68"/>
      <c r="AI62" s="68"/>
      <c r="AJ62" s="68"/>
      <c r="AK62" s="93"/>
      <c r="AL62" s="90" t="s">
        <v>169</v>
      </c>
      <c r="AM62" s="68"/>
      <c r="AN62" s="68" t="s">
        <v>171</v>
      </c>
      <c r="AO62" s="68"/>
      <c r="AS62" s="19"/>
    </row>
    <row r="63" spans="1:46" ht="15.75" thickBot="1" x14ac:dyDescent="0.3">
      <c r="A63" s="126" t="str">
        <f>IFERROR(VLOOKUP(SingolaSx!$BQ$14,SingolaSx!$BS$21:$BW$24,4,FALSE),"")</f>
        <v>VE79KITB060AA</v>
      </c>
      <c r="B63" s="128"/>
      <c r="C63" s="21" t="str">
        <f>IFERROR(VLOOKUP(SingolaSx!$BQ$14,SingolaSx!$BS$21:$BW$24,5,FALSE),"")</f>
        <v>FOLDER BASE KIT 1 (350-500) L</v>
      </c>
      <c r="D63" s="22">
        <f>IF(A63="","",1)</f>
        <v>1</v>
      </c>
      <c r="E63" s="64"/>
      <c r="F63" s="64"/>
      <c r="G63" s="86"/>
      <c r="I63" s="89">
        <f>SUM(I39:I60)</f>
        <v>7</v>
      </c>
      <c r="J63" s="75"/>
      <c r="K63" s="74"/>
      <c r="L63" s="74"/>
      <c r="M63" s="74"/>
      <c r="N63" s="74"/>
      <c r="O63" s="76"/>
      <c r="P63" s="74"/>
      <c r="T63" s="94" t="s">
        <v>164</v>
      </c>
      <c r="U63" s="95"/>
      <c r="V63" s="95" t="s">
        <v>165</v>
      </c>
      <c r="W63" s="95"/>
      <c r="X63" s="95"/>
      <c r="Y63" s="95"/>
      <c r="Z63" s="95"/>
      <c r="AA63" s="96"/>
      <c r="AB63" s="68"/>
      <c r="AC63" s="94" t="s">
        <v>164</v>
      </c>
      <c r="AD63" s="95"/>
      <c r="AE63" s="95" t="s">
        <v>165</v>
      </c>
      <c r="AF63" s="95"/>
      <c r="AG63" s="95"/>
      <c r="AH63" s="95"/>
      <c r="AI63" s="95"/>
      <c r="AJ63" s="96"/>
      <c r="AK63" s="68"/>
      <c r="AL63" s="94" t="s">
        <v>164</v>
      </c>
      <c r="AM63" s="95"/>
      <c r="AN63" s="95" t="s">
        <v>170</v>
      </c>
      <c r="AO63" s="95"/>
      <c r="AP63" s="9"/>
      <c r="AQ63" s="9"/>
      <c r="AR63" s="9"/>
      <c r="AS63" s="31"/>
    </row>
    <row r="64" spans="1:46" x14ac:dyDescent="0.25">
      <c r="A64" s="161" t="str">
        <f>VLOOKUP(SingolaSx!$BP$17,SingolaSx!$BS$28:$BU$35,2,FALSE)</f>
        <v>VE79KITX610TB</v>
      </c>
      <c r="B64" s="162"/>
      <c r="C64" s="118" t="str">
        <f>VLOOKUP(SingolaSx!$BP$17,SingolaSx!$BS$28:$BU$35,3,FALSE)</f>
        <v>KIT 2 CONECTA HING. DQG5B TITANIUM</v>
      </c>
      <c r="D64" s="100" t="str">
        <f>IFERROR(INDEX(SingolaSx!BP24:BP35,MATCH(2,SingolaSx!BN24:BN35,0)),"")</f>
        <v/>
      </c>
      <c r="E64" s="88"/>
      <c r="F64" s="88"/>
      <c r="G64" s="85"/>
      <c r="J64" s="75"/>
      <c r="K64" s="74"/>
      <c r="L64" s="74"/>
      <c r="M64" s="74"/>
      <c r="N64" s="74"/>
      <c r="O64" s="76"/>
    </row>
    <row r="65" spans="1:15" x14ac:dyDescent="0.25">
      <c r="A65" s="161" t="str">
        <f>IFERROR(VLOOKUP(SingolaSx!$BO$39,SingolaSx!$BS$38:$BU$41,2,FALSE),"")</f>
        <v>VE79KITE710TA</v>
      </c>
      <c r="B65" s="162"/>
      <c r="C65" s="118" t="str">
        <f>IFERROR(VLOOKUP(SingolaSx!$BO$39,SingolaSx!$BS$38:$BU$41,3,FALSE),"")</f>
        <v>KIT ALUM. PROF. FOR WOOD DOORS TITAN.</v>
      </c>
      <c r="D65" s="100">
        <f>IF(SingolaSx!BK39=0,SingolaSx!BL14+1,"")</f>
        <v>2</v>
      </c>
      <c r="E65" s="88"/>
      <c r="F65" s="88"/>
      <c r="G65" s="85"/>
      <c r="J65" s="75"/>
      <c r="K65" s="74"/>
      <c r="L65" s="74"/>
      <c r="M65" s="74"/>
      <c r="N65" s="74"/>
      <c r="O65" s="76"/>
    </row>
    <row r="66" spans="1:15" ht="15.75" thickBot="1" x14ac:dyDescent="0.3">
      <c r="A66" s="129" t="str">
        <f>IF(SingolaSx!BS43=1,SingolaSx!BT43,"")</f>
        <v/>
      </c>
      <c r="B66" s="129"/>
      <c r="C66" s="21" t="str">
        <f>IF(SingolaSx!BS43=1,SingolaSx!BU43,"")</f>
        <v/>
      </c>
      <c r="D66" s="22" t="str">
        <f>IF(AND(A66&lt;&gt;"",SingolaSx!BK39=0),SingolaSx!BL14+1,"")</f>
        <v/>
      </c>
      <c r="E66" s="64"/>
      <c r="F66" s="64"/>
      <c r="G66" s="86"/>
      <c r="J66" s="30"/>
      <c r="K66" s="9"/>
      <c r="L66" s="9"/>
      <c r="M66" s="9"/>
      <c r="N66" s="9"/>
      <c r="O66" s="31"/>
    </row>
    <row r="67" spans="1:15" x14ac:dyDescent="0.25">
      <c r="A67" s="129" t="str">
        <f>IFERROR(VLOOKUP(1,SingolaSx!$BS$44:$BU$45,2,FALSE),"")</f>
        <v>VE79KITX0351B</v>
      </c>
      <c r="B67" s="129"/>
      <c r="C67" s="21" t="str">
        <f>IFERROR(VLOOKUP(1,SingolaSx!$BS$44:$BU$45,3,FALSE),"")</f>
        <v>DAMPING KIT1 FOR SMALL DOORS</v>
      </c>
      <c r="D67" s="22">
        <f>IF(AND(A67&lt;&gt;"",D44&lt;=1600),SingolaSx!BL14+1,"")</f>
        <v>2</v>
      </c>
      <c r="E67" s="64"/>
      <c r="F67" s="64"/>
      <c r="G67" s="86"/>
    </row>
  </sheetData>
  <sheetProtection algorithmName="SHA-512" hashValue="qDY4CVD9GBS8o5GHPQm1Xfai5F1roAfO6+rhUVGal0VXonF4kpAHUYoFO++iO8t4/V339a18kRkGdbMEUAJtUQ==" saltValue="V2KjT98fh35UHkt+vh9C0g==" spinCount="100000" sheet="1" objects="1" scenarios="1"/>
  <mergeCells count="65">
    <mergeCell ref="D56:F56"/>
    <mergeCell ref="D45:F45"/>
    <mergeCell ref="D44:F44"/>
    <mergeCell ref="C38:D38"/>
    <mergeCell ref="A38:B38"/>
    <mergeCell ref="A50:B50"/>
    <mergeCell ref="A54:B54"/>
    <mergeCell ref="A52:B52"/>
    <mergeCell ref="C39:D39"/>
    <mergeCell ref="A49:B49"/>
    <mergeCell ref="C43:D43"/>
    <mergeCell ref="C42:D42"/>
    <mergeCell ref="C41:D41"/>
    <mergeCell ref="C40:D40"/>
    <mergeCell ref="A43:B43"/>
    <mergeCell ref="A42:B42"/>
    <mergeCell ref="A57:B57"/>
    <mergeCell ref="A60:B60"/>
    <mergeCell ref="C36:D36"/>
    <mergeCell ref="C37:D37"/>
    <mergeCell ref="A36:B36"/>
    <mergeCell ref="A37:B37"/>
    <mergeCell ref="D58:F58"/>
    <mergeCell ref="D59:F59"/>
    <mergeCell ref="D50:F50"/>
    <mergeCell ref="D57:F57"/>
    <mergeCell ref="D55:F55"/>
    <mergeCell ref="D53:F53"/>
    <mergeCell ref="D51:F51"/>
    <mergeCell ref="D54:F54"/>
    <mergeCell ref="D52:F52"/>
    <mergeCell ref="A51:B51"/>
    <mergeCell ref="A61:B61"/>
    <mergeCell ref="A58:B58"/>
    <mergeCell ref="A59:B59"/>
    <mergeCell ref="A66:B66"/>
    <mergeCell ref="A67:B67"/>
    <mergeCell ref="A62:B62"/>
    <mergeCell ref="A63:B63"/>
    <mergeCell ref="A64:B64"/>
    <mergeCell ref="A65:B65"/>
    <mergeCell ref="D60:F60"/>
    <mergeCell ref="C34:D34"/>
    <mergeCell ref="A34:B34"/>
    <mergeCell ref="K34:O34"/>
    <mergeCell ref="K45:O45"/>
    <mergeCell ref="K56:O56"/>
    <mergeCell ref="C35:D35"/>
    <mergeCell ref="A35:B35"/>
    <mergeCell ref="A45:B45"/>
    <mergeCell ref="A44:B44"/>
    <mergeCell ref="A46:B46"/>
    <mergeCell ref="A47:B47"/>
    <mergeCell ref="A48:B48"/>
    <mergeCell ref="A56:B56"/>
    <mergeCell ref="A55:B55"/>
    <mergeCell ref="A53:B53"/>
    <mergeCell ref="A32:D32"/>
    <mergeCell ref="D48:F48"/>
    <mergeCell ref="D49:F49"/>
    <mergeCell ref="A41:B41"/>
    <mergeCell ref="A40:B40"/>
    <mergeCell ref="A39:B39"/>
    <mergeCell ref="D46:F46"/>
    <mergeCell ref="D47:F47"/>
  </mergeCells>
  <conditionalFormatting sqref="A39:B39">
    <cfRule type="expression" dxfId="10" priority="1">
      <formula>ISBLANK($C$39)</formula>
    </cfRule>
  </conditionalFormatting>
  <conditionalFormatting sqref="A40:B40">
    <cfRule type="expression" dxfId="9" priority="5">
      <formula>ISBLANK($C$40)</formula>
    </cfRule>
  </conditionalFormatting>
  <conditionalFormatting sqref="A41:B41">
    <cfRule type="expression" dxfId="8" priority="4">
      <formula>ISBLANK($C$41)</formula>
    </cfRule>
  </conditionalFormatting>
  <conditionalFormatting sqref="A42:B42">
    <cfRule type="expression" dxfId="7" priority="3">
      <formula>ISBLANK($C$42)</formula>
    </cfRule>
  </conditionalFormatting>
  <conditionalFormatting sqref="A43:B43">
    <cfRule type="expression" dxfId="6" priority="2">
      <formula>ISBLANK($C$43)</formula>
    </cfRule>
  </conditionalFormatting>
  <conditionalFormatting sqref="A62:D67">
    <cfRule type="expression" dxfId="5" priority="6">
      <formula>IF($I$63&lt;&gt;22,TRUE,FALSE)</formula>
    </cfRule>
  </conditionalFormatting>
  <conditionalFormatting sqref="D46">
    <cfRule type="expression" dxfId="4" priority="13">
      <formula>IF($H$46&lt;&gt;2,TRUE,FALSE)</formula>
    </cfRule>
  </conditionalFormatting>
  <conditionalFormatting sqref="D50">
    <cfRule type="expression" dxfId="3" priority="12">
      <formula>IF($H$50&lt;&gt;3,TRUE,FALSE)</formula>
    </cfRule>
  </conditionalFormatting>
  <conditionalFormatting sqref="D57">
    <cfRule type="expression" dxfId="2" priority="9">
      <formula>IF($H$57&lt;&gt;6,TRUE,FALSE)</formula>
    </cfRule>
  </conditionalFormatting>
  <conditionalFormatting sqref="D58">
    <cfRule type="expression" dxfId="1" priority="10">
      <formula>IF($H$58&lt;&gt;1,TRUE,FALSE)</formula>
    </cfRule>
  </conditionalFormatting>
  <conditionalFormatting sqref="D60">
    <cfRule type="expression" dxfId="0" priority="11">
      <formula>IF($H$60&lt;&gt;1,TRUE,FALSE)</formula>
    </cfRule>
  </conditionalFormatting>
  <dataValidations count="2">
    <dataValidation type="decimal" allowBlank="1" showInputMessage="1" showErrorMessage="1" sqref="D44:F44" xr:uid="{FFECD72A-4762-4C66-A8FD-AD1F8CCAF932}">
      <formula1>600</formula1>
      <formula2>2800</formula2>
    </dataValidation>
    <dataValidation type="decimal" operator="lessThanOrEqual" allowBlank="1" showInputMessage="1" showErrorMessage="1" sqref="D56:F56" xr:uid="{AB20D5A8-57D8-4566-A7EB-A2740B5A62CE}">
      <formula1>27.5</formula1>
    </dataValidation>
  </dataValidations>
  <printOptions horizontalCentered="1" verticalCentered="1"/>
  <pageMargins left="0" right="0" top="0" bottom="0" header="0" footer="0"/>
  <pageSetup paperSize="9" scale="4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E0CEE517-15C4-4C78-8697-0FE1A8A04147}">
          <x14:formula1>
            <xm:f>SingolaSx!$AP$13:$AP$15</xm:f>
          </x14:formula1>
          <xm:sqref>D52</xm:sqref>
        </x14:dataValidation>
        <x14:dataValidation type="list" allowBlank="1" showInputMessage="1" showErrorMessage="1" xr:uid="{41245053-0166-44C3-A847-927478413EA8}">
          <x14:formula1>
            <xm:f>SingolaSx!$BF$4:$BF$8</xm:f>
          </x14:formula1>
          <xm:sqref>D54</xm:sqref>
        </x14:dataValidation>
        <x14:dataValidation type="list" allowBlank="1" showInputMessage="1" showErrorMessage="1" xr:uid="{79A49FD1-B0C7-4F4C-B7B3-59B8EE6C3B08}">
          <x14:formula1>
            <xm:f>SingolaSx!$BC$13:$BC$17</xm:f>
          </x14:formula1>
          <xm:sqref>C40</xm:sqref>
        </x14:dataValidation>
        <x14:dataValidation type="list" allowBlank="1" showInputMessage="1" showErrorMessage="1" xr:uid="{C403FF0B-213C-4343-AACC-C82919B11527}">
          <x14:formula1>
            <xm:f>SingolaSx!$BL$5:$BL$8</xm:f>
          </x14:formula1>
          <xm:sqref>C43</xm:sqref>
        </x14:dataValidation>
        <x14:dataValidation type="list" allowBlank="1" showInputMessage="1" showErrorMessage="1" xr:uid="{0151D346-882B-4EB4-BC6F-2C6463B1B74E}">
          <x14:formula1>
            <xm:f>SingolaSx!$AV$31:$AV$33</xm:f>
          </x14:formula1>
          <xm:sqref>C42</xm:sqref>
        </x14:dataValidation>
        <x14:dataValidation type="list" allowBlank="1" showInputMessage="1" showErrorMessage="1" xr:uid="{01D73DCD-EFD7-42DE-BCBB-147459704D1A}">
          <x14:formula1>
            <xm:f>SingolaSx!$AV$26:$AV$30</xm:f>
          </x14:formula1>
          <xm:sqref>C41</xm:sqref>
        </x14:dataValidation>
        <x14:dataValidation type="list" allowBlank="1" showInputMessage="1" showErrorMessage="1" xr:uid="{BF2BCEFE-4723-4135-970C-5E4B5F00FE3C}">
          <x14:formula1>
            <xm:f>SingolaSx!$BC$18:$BC$20</xm:f>
          </x14:formula1>
          <xm:sqref>C39</xm:sqref>
        </x14:dataValidation>
        <x14:dataValidation type="list" allowBlank="1" showInputMessage="1" showErrorMessage="1" xr:uid="{DF7F870D-7B1C-4659-BF3F-B9A4C443E0D2}">
          <x14:formula1>
            <xm:f>SingolaSx!$AY$4:$AY$9</xm:f>
          </x14:formula1>
          <xm:sqref>A32</xm:sqref>
        </x14:dataValidation>
        <x14:dataValidation type="decimal" operator="lessThanOrEqual" allowBlank="1" showInputMessage="1" showErrorMessage="1" xr:uid="{62200596-3144-4457-A7AE-FBA72393E813}">
          <x14:formula1>
            <xm:f>SingolaSx!BL19</xm:f>
          </x14:formula1>
          <xm:sqref>D59</xm:sqref>
        </x14:dataValidation>
        <x14:dataValidation type="decimal" operator="greaterThanOrEqual" allowBlank="1" showInputMessage="1" showErrorMessage="1" xr:uid="{195364AA-3161-46DA-B109-C7E9F412DF6F}">
          <x14:formula1>
            <xm:f>SingolaSx!BI19</xm:f>
          </x14:formula1>
          <xm:sqref>G48</xm:sqref>
        </x14:dataValidation>
        <x14:dataValidation type="decimal" operator="lessThanOrEqual" allowBlank="1" showInputMessage="1" showErrorMessage="1" xr:uid="{12B53C0E-E5B5-42F7-BDF7-A1A7F3C963DE}">
          <x14:formula1>
            <xm:f>SingolaSx!BH19</xm:f>
          </x14:formula1>
          <xm:sqref>G49</xm:sqref>
        </x14:dataValidation>
        <x14:dataValidation type="decimal" operator="greaterThanOrEqual" allowBlank="1" showInputMessage="1" showErrorMessage="1" xr:uid="{D97C5FF6-67DE-42D0-8FD7-A9FED2C72017}">
          <x14:formula1>
            <xm:f>SingolaSx!BL18</xm:f>
          </x14:formula1>
          <xm:sqref>D53</xm:sqref>
        </x14:dataValidation>
        <x14:dataValidation type="decimal" allowBlank="1" showInputMessage="1" showErrorMessage="1" xr:uid="{5BBFD579-0A29-455B-B8D4-6CB90FB09143}">
          <x14:formula1>
            <xm:f>350</xm:f>
          </x14:formula1>
          <x14:formula2>
            <xm:f>SingolaSx!BS3</xm:f>
          </x14:formula2>
          <xm:sqref>D51:F51</xm:sqref>
        </x14:dataValidation>
        <x14:dataValidation type="decimal" operator="greaterThanOrEqual" allowBlank="1" showInputMessage="1" showErrorMessage="1" xr:uid="{7A779057-1516-49D6-A008-56F00D290019}">
          <x14:formula1>
            <xm:f>SingolaSx!BL10</xm:f>
          </x14:formula1>
          <xm:sqref>D48:F48</xm:sqref>
        </x14:dataValidation>
        <x14:dataValidation type="decimal" operator="greaterThanOrEqual" allowBlank="1" showInputMessage="1" showErrorMessage="1" xr:uid="{F96C453C-6D23-4423-93B3-03ECFA2886FE}">
          <x14:formula1>
            <xm:f>SingolaSx!BD20</xm:f>
          </x14:formula1>
          <xm:sqref>D49:F49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SingolaSx</vt:lpstr>
      <vt:lpstr>Draft</vt:lpstr>
      <vt:lpstr>Draft!Area_stampa</vt:lpstr>
      <vt:lpstr>SingolaSx!Area_stampa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U.francesco.bettina</dc:creator>
  <cp:lastModifiedBy>Devis Fiorot</cp:lastModifiedBy>
  <cp:lastPrinted>2024-07-02T10:48:08Z</cp:lastPrinted>
  <dcterms:created xsi:type="dcterms:W3CDTF">2015-06-05T18:19:34Z</dcterms:created>
  <dcterms:modified xsi:type="dcterms:W3CDTF">2025-04-17T11:07:13Z</dcterms:modified>
</cp:coreProperties>
</file>